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5180" windowHeight="8070"/>
  </bookViews>
  <sheets>
    <sheet name="Balanço Patrimonial 2009 " sheetId="1" r:id="rId1"/>
  </sheets>
  <calcPr calcId="125725"/>
</workbook>
</file>

<file path=xl/calcChain.xml><?xml version="1.0" encoding="utf-8"?>
<calcChain xmlns="http://schemas.openxmlformats.org/spreadsheetml/2006/main">
  <c r="L91" i="1"/>
  <c r="H91"/>
  <c r="F91"/>
  <c r="R90"/>
  <c r="R89"/>
  <c r="T86"/>
  <c r="R86"/>
  <c r="P86"/>
  <c r="N86"/>
  <c r="L86"/>
  <c r="J86"/>
  <c r="H86"/>
  <c r="F86"/>
  <c r="D86"/>
  <c r="B86"/>
  <c r="L85"/>
  <c r="J85"/>
  <c r="H85"/>
  <c r="F85"/>
  <c r="T81"/>
  <c r="R81"/>
  <c r="P81"/>
  <c r="N81"/>
  <c r="L81"/>
  <c r="J81"/>
  <c r="H81"/>
  <c r="F81"/>
  <c r="D81"/>
  <c r="B81"/>
  <c r="T76"/>
  <c r="R76"/>
  <c r="N76"/>
  <c r="L76"/>
  <c r="J76"/>
  <c r="H76"/>
  <c r="F76"/>
  <c r="T72"/>
  <c r="R72"/>
  <c r="L72"/>
  <c r="J72"/>
  <c r="H72"/>
  <c r="F72"/>
  <c r="D72"/>
  <c r="B72"/>
  <c r="T70"/>
  <c r="L70"/>
  <c r="J70"/>
  <c r="H70"/>
  <c r="F70"/>
  <c r="R69"/>
  <c r="T69" s="1"/>
  <c r="T65" s="1"/>
  <c r="T64" s="1"/>
  <c r="L69"/>
  <c r="J69"/>
  <c r="H69"/>
  <c r="F69"/>
  <c r="R65"/>
  <c r="P65"/>
  <c r="N65"/>
  <c r="L65"/>
  <c r="J65"/>
  <c r="H65"/>
  <c r="F65"/>
  <c r="F66" s="1"/>
  <c r="D65"/>
  <c r="B65"/>
  <c r="R64"/>
  <c r="P64"/>
  <c r="N64"/>
  <c r="L64"/>
  <c r="J64"/>
  <c r="H64"/>
  <c r="F64"/>
  <c r="D64"/>
  <c r="B64"/>
  <c r="T60"/>
  <c r="R60"/>
  <c r="L60"/>
  <c r="J60"/>
  <c r="H60"/>
  <c r="F60"/>
  <c r="T58"/>
  <c r="R58"/>
  <c r="P58"/>
  <c r="N58"/>
  <c r="L58"/>
  <c r="J58"/>
  <c r="H58"/>
  <c r="F58"/>
  <c r="D58"/>
  <c r="B58"/>
  <c r="P54"/>
  <c r="N54"/>
  <c r="L54"/>
  <c r="J54"/>
  <c r="H54"/>
  <c r="F54"/>
  <c r="T53"/>
  <c r="T47" s="1"/>
  <c r="T45" s="1"/>
  <c r="R53"/>
  <c r="P53"/>
  <c r="P47" s="1"/>
  <c r="P45" s="1"/>
  <c r="N53"/>
  <c r="L53"/>
  <c r="L47" s="1"/>
  <c r="L45" s="1"/>
  <c r="J53"/>
  <c r="H53"/>
  <c r="H47" s="1"/>
  <c r="H45" s="1"/>
  <c r="F53"/>
  <c r="D53"/>
  <c r="D47" s="1"/>
  <c r="D45" s="1"/>
  <c r="B53"/>
  <c r="R47"/>
  <c r="N47"/>
  <c r="J47"/>
  <c r="F47"/>
  <c r="F48" s="1"/>
  <c r="B47"/>
  <c r="R45"/>
  <c r="N45"/>
  <c r="J45"/>
  <c r="F45"/>
  <c r="B45"/>
  <c r="R39"/>
  <c r="J39"/>
  <c r="R38"/>
  <c r="T38" s="1"/>
  <c r="L38"/>
  <c r="J38"/>
  <c r="H38"/>
  <c r="F38"/>
  <c r="F37"/>
  <c r="R36"/>
  <c r="R35" s="1"/>
  <c r="J36"/>
  <c r="T35"/>
  <c r="T33" s="1"/>
  <c r="N35"/>
  <c r="J35"/>
  <c r="H35"/>
  <c r="H33" s="1"/>
  <c r="H22" s="1"/>
  <c r="H10" s="1"/>
  <c r="F35"/>
  <c r="D35"/>
  <c r="D33" s="1"/>
  <c r="D22" s="1"/>
  <c r="D10" s="1"/>
  <c r="B35"/>
  <c r="R33"/>
  <c r="P33"/>
  <c r="N33"/>
  <c r="L33"/>
  <c r="J33"/>
  <c r="F33"/>
  <c r="F34" s="1"/>
  <c r="B33"/>
  <c r="T29"/>
  <c r="T27"/>
  <c r="T25" s="1"/>
  <c r="T23" s="1"/>
  <c r="L27"/>
  <c r="J27"/>
  <c r="H27"/>
  <c r="F27"/>
  <c r="P26"/>
  <c r="N26"/>
  <c r="L26"/>
  <c r="J26"/>
  <c r="R25"/>
  <c r="R24" s="1"/>
  <c r="P25"/>
  <c r="N25"/>
  <c r="L25"/>
  <c r="J25"/>
  <c r="H25"/>
  <c r="F25"/>
  <c r="D25"/>
  <c r="B25"/>
  <c r="R23"/>
  <c r="P23"/>
  <c r="N23"/>
  <c r="L23"/>
  <c r="J23"/>
  <c r="H23"/>
  <c r="F23"/>
  <c r="F24" s="1"/>
  <c r="D23"/>
  <c r="B23"/>
  <c r="R22"/>
  <c r="P22"/>
  <c r="N22"/>
  <c r="L22"/>
  <c r="J22"/>
  <c r="F22"/>
  <c r="B22"/>
  <c r="T19"/>
  <c r="L19"/>
  <c r="J19"/>
  <c r="H19"/>
  <c r="F19"/>
  <c r="P16"/>
  <c r="N16"/>
  <c r="L16"/>
  <c r="J16"/>
  <c r="H16"/>
  <c r="F16"/>
  <c r="T15"/>
  <c r="R15"/>
  <c r="L15"/>
  <c r="J15"/>
  <c r="H15"/>
  <c r="F15"/>
  <c r="T12"/>
  <c r="R12"/>
  <c r="P12"/>
  <c r="N12"/>
  <c r="L12"/>
  <c r="J12"/>
  <c r="H12"/>
  <c r="F12"/>
  <c r="D12"/>
  <c r="B12"/>
  <c r="R10"/>
  <c r="R44" s="1"/>
  <c r="P10"/>
  <c r="N10"/>
  <c r="L10"/>
  <c r="J10"/>
  <c r="F10"/>
  <c r="B10"/>
  <c r="T22" l="1"/>
  <c r="T10" s="1"/>
  <c r="T44" s="1"/>
</calcChain>
</file>

<file path=xl/sharedStrings.xml><?xml version="1.0" encoding="utf-8"?>
<sst xmlns="http://schemas.openxmlformats.org/spreadsheetml/2006/main" count="95" uniqueCount="65">
  <si>
    <t xml:space="preserve">               DEMONSTRAÇÕES CONTÁBEIS</t>
  </si>
  <si>
    <t xml:space="preserve">                   BALANÇOS PATRIMONIAIS </t>
  </si>
  <si>
    <t xml:space="preserve">                    (em milhares de reais)</t>
  </si>
  <si>
    <t>Efeitos</t>
  </si>
  <si>
    <t>Controladora</t>
  </si>
  <si>
    <t>Consolidado</t>
  </si>
  <si>
    <t>ATIVO TOTAL</t>
  </si>
  <si>
    <t>ATIVO CIRCULANTE</t>
  </si>
  <si>
    <t>Disponibilidades</t>
  </si>
  <si>
    <t>Contas a Receber de Cliente</t>
  </si>
  <si>
    <t>Impostos a Recuperar</t>
  </si>
  <si>
    <t>Dividendos a Receber</t>
  </si>
  <si>
    <t>Bancos conta vinculada</t>
  </si>
  <si>
    <t>Outras Contas a Receber</t>
  </si>
  <si>
    <t>Estoques</t>
  </si>
  <si>
    <t>ATIVO NÃO CIRCULANTE</t>
  </si>
  <si>
    <t>REALIZÁVEL A LONGO PRAZO</t>
  </si>
  <si>
    <t>Créditos Diversos</t>
  </si>
  <si>
    <t xml:space="preserve">  Imposto de Renda e Contribuição Social Diferidos</t>
  </si>
  <si>
    <t xml:space="preserve">  Impostos a Recuperar</t>
  </si>
  <si>
    <t xml:space="preserve">  Outras contas a receber</t>
  </si>
  <si>
    <t xml:space="preserve">  Depósitos Judiciais</t>
  </si>
  <si>
    <t xml:space="preserve">  Bancos Conta Vinculada</t>
  </si>
  <si>
    <t>Créditos com Pessoas Ligadas</t>
  </si>
  <si>
    <t>ATIVO PERMANENTE</t>
  </si>
  <si>
    <t>Investimentos</t>
  </si>
  <si>
    <t xml:space="preserve">  Participações em Controladas</t>
  </si>
  <si>
    <t xml:space="preserve">  Outros investimentos</t>
  </si>
  <si>
    <t>Imobilizado</t>
  </si>
  <si>
    <t>Ativo Biológico</t>
  </si>
  <si>
    <t>PASSIVO TOTAL</t>
  </si>
  <si>
    <t>PASSIVO CIRCULANTE</t>
  </si>
  <si>
    <t>Empréstimos e Financiamentos</t>
  </si>
  <si>
    <t>Fornecedores</t>
  </si>
  <si>
    <t>Debêntures</t>
  </si>
  <si>
    <t xml:space="preserve">Dividendos a pagar </t>
  </si>
  <si>
    <t>Impostos taxas e Contribuições</t>
  </si>
  <si>
    <t xml:space="preserve">  Obrigações Tributárias</t>
  </si>
  <si>
    <t xml:space="preserve">  Obrigações Sociais e Previdenciárias</t>
  </si>
  <si>
    <t xml:space="preserve">  Parcelamentos Tributários</t>
  </si>
  <si>
    <t>Dívidas com Pessoas Ligadas</t>
  </si>
  <si>
    <t>Outros</t>
  </si>
  <si>
    <t xml:space="preserve">  Adiantamento de Clientes</t>
  </si>
  <si>
    <t xml:space="preserve">  Outras Contas a Pagar</t>
  </si>
  <si>
    <t xml:space="preserve">  Provisão para Contingências</t>
  </si>
  <si>
    <t xml:space="preserve"> Cédula de crédito imobiliário - CRI</t>
  </si>
  <si>
    <t>PASSIVO NÃO CIRCULANTE</t>
  </si>
  <si>
    <t>PASSIVO EXIGÍVEL A LONGO PRAZO</t>
  </si>
  <si>
    <t>Provisões</t>
  </si>
  <si>
    <t xml:space="preserve">  Contingências fiscais, cíveis e trabalhistas</t>
  </si>
  <si>
    <t xml:space="preserve">  Outras contas a Pagar</t>
  </si>
  <si>
    <t xml:space="preserve">  IR e Contribuição Social Diferidos</t>
  </si>
  <si>
    <t xml:space="preserve">  Cédula de crédito imobiliário - CRI</t>
  </si>
  <si>
    <t>PART.DE ACIONISTAS Ñ CONTROLADORES</t>
  </si>
  <si>
    <t>PATRIMÔNIO LÍQUIDO</t>
  </si>
  <si>
    <t>Capital Social Realizado</t>
  </si>
  <si>
    <t xml:space="preserve">  (-) Ações em Tesouraria</t>
  </si>
  <si>
    <t>Reserva de Reavaliação</t>
  </si>
  <si>
    <t>Reserva de Lucro</t>
  </si>
  <si>
    <t xml:space="preserve">  Reserva Legal</t>
  </si>
  <si>
    <t xml:space="preserve">  Retenção de Lucros</t>
  </si>
  <si>
    <t xml:space="preserve">  De lucros a realizar</t>
  </si>
  <si>
    <t>Ajustes de avaliação patrimonial</t>
  </si>
  <si>
    <t>Lucros/(Prejuízos) Acumulados</t>
  </si>
  <si>
    <t>OBS: Reapresentação por conta da adoção integral ao IFRS no exercício de 2010 comparativamente a 2009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</si>
</sst>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* #,##0_);_(* \(#,##0\);_(* &quot;-&quot;??_);_(@_)"/>
    <numFmt numFmtId="165" formatCode="0_);\(0\)"/>
  </numFmts>
  <fonts count="14">
    <font>
      <sz val="10"/>
      <name val="Arial"/>
    </font>
    <font>
      <sz val="10"/>
      <name val="Arial"/>
    </font>
    <font>
      <b/>
      <sz val="15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3"/>
      <color indexed="12"/>
      <name val="Calibri"/>
      <family val="2"/>
    </font>
    <font>
      <sz val="10"/>
      <color indexed="12"/>
      <name val="Calibri"/>
      <family val="2"/>
    </font>
    <font>
      <b/>
      <sz val="11"/>
      <color indexed="12"/>
      <name val="Calibri"/>
      <family val="2"/>
    </font>
    <font>
      <sz val="11"/>
      <color indexed="12"/>
      <name val="Calibri"/>
      <family val="2"/>
    </font>
    <font>
      <b/>
      <sz val="12"/>
      <color indexed="12"/>
      <name val="Calibri"/>
      <family val="2"/>
    </font>
    <font>
      <sz val="12"/>
      <color indexed="12"/>
      <name val="Calibri"/>
      <family val="2"/>
    </font>
    <font>
      <sz val="12"/>
      <name val="Calibri"/>
      <family val="2"/>
    </font>
    <font>
      <b/>
      <sz val="12"/>
      <color indexed="57"/>
      <name val="Calibri"/>
      <family val="2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slantDashDot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/>
    <xf numFmtId="164" fontId="3" fillId="0" borderId="0" xfId="1" applyNumberFormat="1" applyFont="1"/>
    <xf numFmtId="0" fontId="4" fillId="0" borderId="0" xfId="0" applyFont="1" applyFill="1" applyAlignment="1"/>
    <xf numFmtId="0" fontId="4" fillId="0" borderId="0" xfId="0" applyFont="1" applyFill="1"/>
    <xf numFmtId="0" fontId="7" fillId="0" borderId="0" xfId="0" applyFont="1" applyFill="1" applyAlignment="1"/>
    <xf numFmtId="0" fontId="8" fillId="0" borderId="0" xfId="0" applyFont="1"/>
    <xf numFmtId="0" fontId="9" fillId="0" borderId="0" xfId="0" applyFont="1" applyFill="1"/>
    <xf numFmtId="37" fontId="9" fillId="0" borderId="0" xfId="1" applyNumberFormat="1" applyFont="1" applyFill="1"/>
    <xf numFmtId="0" fontId="10" fillId="0" borderId="0" xfId="0" applyFont="1"/>
    <xf numFmtId="0" fontId="11" fillId="0" borderId="0" xfId="0" applyFont="1"/>
    <xf numFmtId="14" fontId="11" fillId="0" borderId="0" xfId="0" applyNumberFormat="1" applyFont="1"/>
    <xf numFmtId="14" fontId="9" fillId="0" borderId="2" xfId="1" applyNumberFormat="1" applyFont="1" applyFill="1" applyBorder="1" applyAlignment="1">
      <alignment horizontal="center"/>
    </xf>
    <xf numFmtId="165" fontId="9" fillId="0" borderId="2" xfId="1" applyNumberFormat="1" applyFont="1" applyFill="1" applyBorder="1"/>
    <xf numFmtId="14" fontId="9" fillId="0" borderId="0" xfId="1" applyNumberFormat="1" applyFont="1" applyFill="1" applyBorder="1" applyAlignment="1">
      <alignment horizontal="centerContinuous"/>
    </xf>
    <xf numFmtId="164" fontId="12" fillId="0" borderId="2" xfId="1" applyNumberFormat="1" applyFont="1" applyFill="1" applyBorder="1" applyAlignment="1">
      <alignment horizontal="center"/>
    </xf>
    <xf numFmtId="164" fontId="12" fillId="0" borderId="2" xfId="1" applyNumberFormat="1" applyFont="1" applyFill="1" applyBorder="1"/>
    <xf numFmtId="164" fontId="11" fillId="0" borderId="0" xfId="1" applyNumberFormat="1" applyFont="1"/>
    <xf numFmtId="0" fontId="9" fillId="2" borderId="0" xfId="0" applyFont="1" applyFill="1" applyBorder="1" applyAlignment="1">
      <alignment horizontal="left"/>
    </xf>
    <xf numFmtId="164" fontId="9" fillId="2" borderId="0" xfId="0" applyNumberFormat="1" applyFont="1" applyFill="1"/>
    <xf numFmtId="164" fontId="9" fillId="2" borderId="0" xfId="1" applyNumberFormat="1" applyFont="1" applyFill="1"/>
    <xf numFmtId="164" fontId="10" fillId="2" borderId="0" xfId="1" applyNumberFormat="1" applyFont="1" applyFill="1"/>
    <xf numFmtId="164" fontId="11" fillId="0" borderId="0" xfId="0" applyNumberFormat="1" applyFont="1"/>
    <xf numFmtId="39" fontId="9" fillId="0" borderId="0" xfId="0" applyNumberFormat="1" applyFont="1" applyFill="1" applyAlignment="1">
      <alignment horizontal="centerContinuous"/>
    </xf>
    <xf numFmtId="164" fontId="9" fillId="0" borderId="0" xfId="1" applyNumberFormat="1" applyFont="1" applyFill="1"/>
    <xf numFmtId="164" fontId="10" fillId="0" borderId="0" xfId="1" applyNumberFormat="1" applyFont="1"/>
    <xf numFmtId="0" fontId="9" fillId="3" borderId="0" xfId="0" quotePrefix="1" applyFont="1" applyFill="1" applyAlignment="1">
      <alignment horizontal="left"/>
    </xf>
    <xf numFmtId="164" fontId="9" fillId="3" borderId="0" xfId="1" applyNumberFormat="1" applyFont="1" applyFill="1"/>
    <xf numFmtId="0" fontId="11" fillId="0" borderId="0" xfId="0" applyFont="1" applyFill="1"/>
    <xf numFmtId="164" fontId="11" fillId="0" borderId="0" xfId="1" applyNumberFormat="1" applyFont="1" applyFill="1"/>
    <xf numFmtId="0" fontId="13" fillId="0" borderId="0" xfId="0" applyFont="1" applyFill="1"/>
    <xf numFmtId="164" fontId="13" fillId="0" borderId="0" xfId="1" applyNumberFormat="1" applyFont="1" applyFill="1"/>
    <xf numFmtId="0" fontId="11" fillId="3" borderId="0" xfId="0" applyFont="1" applyFill="1"/>
    <xf numFmtId="164" fontId="11" fillId="3" borderId="0" xfId="1" applyNumberFormat="1" applyFont="1" applyFill="1"/>
    <xf numFmtId="164" fontId="10" fillId="0" borderId="0" xfId="0" applyNumberFormat="1" applyFont="1"/>
    <xf numFmtId="0" fontId="9" fillId="0" borderId="0" xfId="0" applyFont="1"/>
    <xf numFmtId="164" fontId="9" fillId="0" borderId="0" xfId="1" applyNumberFormat="1" applyFont="1"/>
    <xf numFmtId="0" fontId="9" fillId="0" borderId="0" xfId="0" applyFont="1" applyFill="1" applyAlignment="1">
      <alignment horizontal="left"/>
    </xf>
    <xf numFmtId="0" fontId="9" fillId="2" borderId="0" xfId="0" applyFont="1" applyFill="1"/>
    <xf numFmtId="164" fontId="11" fillId="0" borderId="0" xfId="0" applyNumberFormat="1" applyFont="1" applyFill="1"/>
    <xf numFmtId="164" fontId="11" fillId="0" borderId="0" xfId="0" applyNumberFormat="1" applyFont="1" applyFill="1" applyAlignment="1">
      <alignment horizontal="right"/>
    </xf>
    <xf numFmtId="43" fontId="9" fillId="0" borderId="0" xfId="1" applyFont="1" applyFill="1"/>
    <xf numFmtId="43" fontId="11" fillId="0" borderId="0" xfId="1" applyFont="1" applyFill="1"/>
    <xf numFmtId="0" fontId="9" fillId="3" borderId="0" xfId="0" applyFont="1" applyFill="1" applyAlignment="1">
      <alignment horizontal="left"/>
    </xf>
    <xf numFmtId="164" fontId="9" fillId="0" borderId="0" xfId="0" applyNumberFormat="1" applyFont="1" applyFill="1"/>
    <xf numFmtId="164" fontId="13" fillId="0" borderId="0" xfId="0" applyNumberFormat="1" applyFont="1" applyFill="1"/>
    <xf numFmtId="0" fontId="13" fillId="0" borderId="0" xfId="0" applyFont="1"/>
    <xf numFmtId="164" fontId="3" fillId="0" borderId="0" xfId="0" applyNumberFormat="1" applyFont="1"/>
    <xf numFmtId="14" fontId="12" fillId="0" borderId="1" xfId="1" applyNumberFormat="1" applyFont="1" applyFill="1" applyBorder="1" applyAlignment="1">
      <alignment horizontal="center"/>
    </xf>
    <xf numFmtId="0" fontId="12" fillId="0" borderId="1" xfId="1" applyNumberFormat="1" applyFont="1" applyFill="1" applyBorder="1" applyAlignment="1">
      <alignment horizontal="center"/>
    </xf>
    <xf numFmtId="14" fontId="9" fillId="0" borderId="1" xfId="1" applyNumberFormat="1" applyFont="1" applyFill="1" applyBorder="1" applyAlignment="1">
      <alignment horizontal="center"/>
    </xf>
    <xf numFmtId="0" fontId="9" fillId="0" borderId="1" xfId="1" applyNumberFormat="1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57150</xdr:rowOff>
    </xdr:from>
    <xdr:to>
      <xdr:col>0</xdr:col>
      <xdr:colOff>1095375</xdr:colOff>
      <xdr:row>4</xdr:row>
      <xdr:rowOff>9525</xdr:rowOff>
    </xdr:to>
    <xdr:pic>
      <xdr:nvPicPr>
        <xdr:cNvPr id="2" name="Picture 1" descr="logomarca_assinatu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57150"/>
          <a:ext cx="1057275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AG65536"/>
  <sheetViews>
    <sheetView showGridLines="0" tabSelected="1" zoomScale="80" workbookViewId="0">
      <selection activeCell="P86" sqref="P86"/>
    </sheetView>
  </sheetViews>
  <sheetFormatPr defaultRowHeight="15"/>
  <cols>
    <col min="1" max="1" width="51.5703125" style="1" customWidth="1"/>
    <col min="2" max="2" width="13.7109375" style="1" customWidth="1"/>
    <col min="3" max="3" width="3.140625" style="1" customWidth="1"/>
    <col min="4" max="4" width="13.7109375" style="1" customWidth="1"/>
    <col min="5" max="5" width="3.140625" style="1" customWidth="1"/>
    <col min="6" max="6" width="13.7109375" style="1" customWidth="1"/>
    <col min="7" max="7" width="3.140625" style="1" customWidth="1"/>
    <col min="8" max="8" width="13.7109375" style="1" customWidth="1"/>
    <col min="9" max="9" width="3.140625" style="1" customWidth="1"/>
    <col min="10" max="10" width="13.7109375" style="1" customWidth="1"/>
    <col min="11" max="11" width="3.140625" style="1" customWidth="1"/>
    <col min="12" max="12" width="13.7109375" style="1" customWidth="1"/>
    <col min="13" max="13" width="3.140625" style="1" customWidth="1"/>
    <col min="14" max="14" width="13.7109375" style="1" customWidth="1"/>
    <col min="15" max="15" width="3.140625" style="1" customWidth="1"/>
    <col min="16" max="16" width="13.7109375" style="1" customWidth="1"/>
    <col min="17" max="17" width="9.140625" style="1"/>
    <col min="18" max="18" width="13.140625" style="2" hidden="1" customWidth="1"/>
    <col min="19" max="19" width="9.140625" style="2" hidden="1" customWidth="1"/>
    <col min="20" max="20" width="10.28515625" style="2" hidden="1" customWidth="1"/>
    <col min="21" max="21" width="9.140625" style="1"/>
    <col min="22" max="23" width="12" style="1" hidden="1" customWidth="1"/>
    <col min="24" max="24" width="10.28515625" style="1" hidden="1" customWidth="1"/>
    <col min="25" max="25" width="9.140625" style="1" hidden="1" customWidth="1"/>
    <col min="26" max="26" width="11.5703125" style="1" hidden="1" customWidth="1"/>
    <col min="27" max="29" width="9.140625" style="1" hidden="1" customWidth="1"/>
    <col min="30" max="30" width="11.5703125" style="1" hidden="1" customWidth="1"/>
    <col min="31" max="33" width="9.140625" style="1" hidden="1" customWidth="1"/>
    <col min="34" max="16384" width="9.140625" style="1"/>
  </cols>
  <sheetData>
    <row r="2" spans="1:32" ht="19.5">
      <c r="A2" s="52" t="s">
        <v>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</row>
    <row r="3" spans="1:32">
      <c r="A3" s="3"/>
      <c r="B3" s="3"/>
      <c r="C3" s="3"/>
      <c r="D3" s="3"/>
      <c r="E3" s="3"/>
      <c r="F3" s="3"/>
      <c r="G3" s="3"/>
      <c r="H3" s="3"/>
      <c r="I3" s="4"/>
    </row>
    <row r="4" spans="1:32" ht="17.25">
      <c r="A4" s="53" t="s">
        <v>1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32" ht="15" customHeight="1">
      <c r="A5" s="54" t="s">
        <v>2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</row>
    <row r="6" spans="1:32">
      <c r="A6" s="5"/>
      <c r="B6" s="5"/>
      <c r="C6" s="5"/>
      <c r="D6" s="5"/>
      <c r="E6" s="5"/>
      <c r="F6" s="5"/>
      <c r="G6" s="5"/>
      <c r="H6" s="5"/>
      <c r="I6" s="5"/>
      <c r="J6" s="6"/>
      <c r="K6" s="6"/>
      <c r="L6" s="6"/>
      <c r="M6" s="6"/>
      <c r="N6" s="6"/>
      <c r="O6" s="6"/>
      <c r="P6" s="6"/>
      <c r="R6" s="2" t="s">
        <v>3</v>
      </c>
      <c r="V6" s="1" t="s">
        <v>3</v>
      </c>
      <c r="AD6" s="1" t="s">
        <v>3</v>
      </c>
    </row>
    <row r="7" spans="1:32" s="10" customFormat="1" ht="15.75">
      <c r="A7" s="7"/>
      <c r="B7" s="50">
        <v>40178</v>
      </c>
      <c r="C7" s="51"/>
      <c r="D7" s="51"/>
      <c r="E7" s="8"/>
      <c r="F7" s="50">
        <v>40086</v>
      </c>
      <c r="G7" s="51"/>
      <c r="H7" s="51"/>
      <c r="I7" s="7"/>
      <c r="J7" s="50">
        <v>39994</v>
      </c>
      <c r="K7" s="51"/>
      <c r="L7" s="51"/>
      <c r="M7" s="9"/>
      <c r="N7" s="50">
        <v>39903</v>
      </c>
      <c r="O7" s="51"/>
      <c r="P7" s="51"/>
      <c r="R7" s="48">
        <v>40086</v>
      </c>
      <c r="S7" s="49"/>
      <c r="T7" s="49"/>
      <c r="V7" s="11">
        <v>39903</v>
      </c>
      <c r="Z7" s="11">
        <v>39994</v>
      </c>
      <c r="AD7" s="11">
        <v>40086</v>
      </c>
    </row>
    <row r="8" spans="1:32" s="10" customFormat="1" ht="16.5" thickBot="1">
      <c r="A8" s="7"/>
      <c r="B8" s="12" t="s">
        <v>4</v>
      </c>
      <c r="C8" s="13"/>
      <c r="D8" s="12" t="s">
        <v>5</v>
      </c>
      <c r="E8" s="14"/>
      <c r="F8" s="12" t="s">
        <v>4</v>
      </c>
      <c r="G8" s="13"/>
      <c r="H8" s="12" t="s">
        <v>5</v>
      </c>
      <c r="I8" s="7"/>
      <c r="J8" s="12" t="s">
        <v>4</v>
      </c>
      <c r="K8" s="13"/>
      <c r="L8" s="12" t="s">
        <v>5</v>
      </c>
      <c r="M8" s="9"/>
      <c r="N8" s="12" t="s">
        <v>4</v>
      </c>
      <c r="O8" s="13"/>
      <c r="P8" s="12" t="s">
        <v>5</v>
      </c>
      <c r="R8" s="15" t="s">
        <v>4</v>
      </c>
      <c r="S8" s="16"/>
      <c r="T8" s="15" t="s">
        <v>5</v>
      </c>
      <c r="V8" s="10" t="s">
        <v>4</v>
      </c>
      <c r="X8" s="10" t="s">
        <v>5</v>
      </c>
      <c r="Z8" s="10" t="s">
        <v>4</v>
      </c>
      <c r="AB8" s="10" t="s">
        <v>5</v>
      </c>
      <c r="AD8" s="10" t="s">
        <v>4</v>
      </c>
      <c r="AF8" s="10" t="s">
        <v>5</v>
      </c>
    </row>
    <row r="9" spans="1:32" s="10" customFormat="1" ht="15.75">
      <c r="A9" s="9"/>
      <c r="B9" s="7"/>
      <c r="C9" s="7"/>
      <c r="D9" s="7"/>
      <c r="E9" s="7"/>
      <c r="F9" s="9"/>
      <c r="G9" s="9"/>
      <c r="H9" s="9"/>
      <c r="I9" s="7"/>
      <c r="J9" s="9"/>
      <c r="K9" s="9"/>
      <c r="L9" s="9"/>
      <c r="M9" s="9"/>
      <c r="N9" s="9"/>
      <c r="O9" s="9"/>
      <c r="P9" s="9"/>
      <c r="R9" s="17"/>
      <c r="S9" s="17"/>
      <c r="T9" s="17"/>
    </row>
    <row r="10" spans="1:32" s="10" customFormat="1" ht="15.75">
      <c r="A10" s="18" t="s">
        <v>6</v>
      </c>
      <c r="B10" s="19">
        <f>B12+B22</f>
        <v>1051591</v>
      </c>
      <c r="C10" s="19"/>
      <c r="D10" s="19">
        <f>D12+D22</f>
        <v>1062465</v>
      </c>
      <c r="E10" s="19"/>
      <c r="F10" s="20">
        <f>F12+F22</f>
        <v>1076703</v>
      </c>
      <c r="G10" s="21"/>
      <c r="H10" s="20">
        <f>H12+H22</f>
        <v>1094281</v>
      </c>
      <c r="I10" s="20"/>
      <c r="J10" s="20">
        <f>J12+J22</f>
        <v>1117306</v>
      </c>
      <c r="K10" s="21"/>
      <c r="L10" s="20">
        <f>L12+L22</f>
        <v>1119551</v>
      </c>
      <c r="M10" s="21"/>
      <c r="N10" s="20">
        <f>N12+N22</f>
        <v>1119879</v>
      </c>
      <c r="O10" s="21"/>
      <c r="P10" s="20">
        <f>P12+P22</f>
        <v>1119386</v>
      </c>
      <c r="R10" s="17">
        <f>R12+R22</f>
        <v>517609</v>
      </c>
      <c r="S10" s="17"/>
      <c r="T10" s="17">
        <f>T12+T22</f>
        <v>547760</v>
      </c>
      <c r="V10" s="22">
        <v>558979</v>
      </c>
      <c r="W10" s="22"/>
      <c r="X10" s="10">
        <v>571149</v>
      </c>
      <c r="Z10" s="10">
        <v>565289</v>
      </c>
      <c r="AB10" s="10">
        <v>577394</v>
      </c>
      <c r="AD10" s="10">
        <v>517609</v>
      </c>
      <c r="AF10" s="10">
        <v>547760</v>
      </c>
    </row>
    <row r="11" spans="1:32" s="10" customFormat="1" ht="15.75">
      <c r="A11" s="23"/>
      <c r="B11" s="24"/>
      <c r="C11" s="7"/>
      <c r="D11" s="24"/>
      <c r="E11" s="7"/>
      <c r="F11" s="25"/>
      <c r="G11" s="25"/>
      <c r="H11" s="25"/>
      <c r="I11" s="24"/>
      <c r="J11" s="25"/>
      <c r="K11" s="25"/>
      <c r="L11" s="25"/>
      <c r="M11" s="25"/>
      <c r="N11" s="25"/>
      <c r="O11" s="25"/>
      <c r="P11" s="25"/>
      <c r="R11" s="17"/>
      <c r="S11" s="17"/>
      <c r="T11" s="17"/>
      <c r="W11" s="22"/>
    </row>
    <row r="12" spans="1:32" s="10" customFormat="1" ht="15.75">
      <c r="A12" s="26" t="s">
        <v>7</v>
      </c>
      <c r="B12" s="27">
        <f>SUM(B14:B20)</f>
        <v>129735</v>
      </c>
      <c r="C12" s="7"/>
      <c r="D12" s="27">
        <f>SUM(D14:D20)</f>
        <v>127066</v>
      </c>
      <c r="E12" s="7"/>
      <c r="F12" s="27">
        <f>SUM(F14:F20)</f>
        <v>119691</v>
      </c>
      <c r="G12" s="25"/>
      <c r="H12" s="27">
        <f>SUM(H14:H20)</f>
        <v>125406</v>
      </c>
      <c r="I12" s="24"/>
      <c r="J12" s="27">
        <f>SUM(J14:J20)</f>
        <v>108168</v>
      </c>
      <c r="K12" s="25"/>
      <c r="L12" s="27">
        <f>SUM(L14:L20)</f>
        <v>112288</v>
      </c>
      <c r="M12" s="25"/>
      <c r="N12" s="27">
        <f>SUM(N14:N20)</f>
        <v>105041</v>
      </c>
      <c r="O12" s="25"/>
      <c r="P12" s="27">
        <f>SUM(P14:P20)</f>
        <v>105752</v>
      </c>
      <c r="R12" s="17">
        <f>SUM(R14:R20)</f>
        <v>1149</v>
      </c>
      <c r="S12" s="17"/>
      <c r="T12" s="17">
        <f>SUM(T14:T20)</f>
        <v>1149</v>
      </c>
      <c r="V12" s="22">
        <v>-1818</v>
      </c>
      <c r="W12" s="22"/>
      <c r="X12" s="10">
        <v>-1818</v>
      </c>
      <c r="Z12" s="10">
        <v>6517</v>
      </c>
      <c r="AB12" s="10">
        <v>6517</v>
      </c>
      <c r="AD12" s="10">
        <v>1149</v>
      </c>
      <c r="AF12" s="10">
        <v>1149</v>
      </c>
    </row>
    <row r="13" spans="1:32" s="10" customFormat="1" ht="15.75">
      <c r="A13" s="28"/>
      <c r="B13" s="29"/>
      <c r="C13" s="28"/>
      <c r="D13" s="29"/>
      <c r="E13" s="30"/>
      <c r="F13" s="17"/>
      <c r="G13" s="17"/>
      <c r="H13" s="17"/>
      <c r="I13" s="31"/>
      <c r="J13" s="17"/>
      <c r="K13" s="17"/>
      <c r="L13" s="17"/>
      <c r="M13" s="17"/>
      <c r="N13" s="17"/>
      <c r="O13" s="17"/>
      <c r="P13" s="17"/>
      <c r="R13" s="17"/>
      <c r="S13" s="17"/>
      <c r="T13" s="17"/>
      <c r="W13" s="22"/>
    </row>
    <row r="14" spans="1:32" s="10" customFormat="1" ht="15.75">
      <c r="A14" s="32" t="s">
        <v>8</v>
      </c>
      <c r="B14" s="33">
        <v>2913</v>
      </c>
      <c r="C14" s="28"/>
      <c r="D14" s="33">
        <v>3025</v>
      </c>
      <c r="E14" s="28"/>
      <c r="F14" s="17">
        <v>12531</v>
      </c>
      <c r="G14" s="17"/>
      <c r="H14" s="17">
        <v>12624</v>
      </c>
      <c r="I14" s="29"/>
      <c r="J14" s="17">
        <v>1102</v>
      </c>
      <c r="K14" s="17"/>
      <c r="L14" s="17">
        <v>1299</v>
      </c>
      <c r="M14" s="17"/>
      <c r="N14" s="17">
        <v>897</v>
      </c>
      <c r="O14" s="17"/>
      <c r="P14" s="17">
        <v>949</v>
      </c>
      <c r="R14" s="17"/>
      <c r="S14" s="17"/>
      <c r="T14" s="17"/>
      <c r="V14" s="22"/>
      <c r="W14" s="22"/>
    </row>
    <row r="15" spans="1:32" s="10" customFormat="1" ht="15.75">
      <c r="A15" s="32" t="s">
        <v>9</v>
      </c>
      <c r="B15" s="33">
        <v>59227</v>
      </c>
      <c r="C15" s="28"/>
      <c r="D15" s="33">
        <v>61457</v>
      </c>
      <c r="E15" s="28"/>
      <c r="F15" s="17">
        <f>52446-2491</f>
        <v>49955</v>
      </c>
      <c r="G15" s="17"/>
      <c r="H15" s="17">
        <f>54683+2491</f>
        <v>57174</v>
      </c>
      <c r="I15" s="29"/>
      <c r="J15" s="17">
        <f>60379</f>
        <v>60379</v>
      </c>
      <c r="K15" s="17"/>
      <c r="L15" s="17">
        <f>53223+9355</f>
        <v>62578</v>
      </c>
      <c r="M15" s="17"/>
      <c r="N15" s="17">
        <v>55327</v>
      </c>
      <c r="O15" s="17"/>
      <c r="P15" s="17">
        <v>56539</v>
      </c>
      <c r="R15" s="17">
        <f>54937-52446</f>
        <v>2491</v>
      </c>
      <c r="S15" s="17"/>
      <c r="T15" s="17">
        <f>R15</f>
        <v>2491</v>
      </c>
      <c r="V15" s="22">
        <v>1182</v>
      </c>
      <c r="W15" s="22"/>
      <c r="X15" s="10">
        <v>1182</v>
      </c>
      <c r="Z15" s="10">
        <v>9355</v>
      </c>
      <c r="AB15" s="10">
        <v>9355</v>
      </c>
      <c r="AD15" s="10">
        <v>2491</v>
      </c>
      <c r="AF15" s="10">
        <v>2491</v>
      </c>
    </row>
    <row r="16" spans="1:32" s="10" customFormat="1" ht="15.75">
      <c r="A16" s="32" t="s">
        <v>10</v>
      </c>
      <c r="B16" s="33">
        <v>6755</v>
      </c>
      <c r="C16" s="28"/>
      <c r="D16" s="33">
        <v>6775</v>
      </c>
      <c r="E16" s="28"/>
      <c r="F16" s="17">
        <f>4450+2535</f>
        <v>6985</v>
      </c>
      <c r="G16" s="17"/>
      <c r="H16" s="17">
        <f>4466+2535</f>
        <v>7001</v>
      </c>
      <c r="I16" s="29"/>
      <c r="J16" s="17">
        <f>4748+3236</f>
        <v>7984</v>
      </c>
      <c r="K16" s="17"/>
      <c r="L16" s="17">
        <f>4767+3236</f>
        <v>8003</v>
      </c>
      <c r="M16" s="17"/>
      <c r="N16" s="17">
        <f>5479+3063</f>
        <v>8542</v>
      </c>
      <c r="O16" s="17"/>
      <c r="P16" s="17">
        <f>5701+3063</f>
        <v>8764</v>
      </c>
      <c r="R16" s="17"/>
      <c r="S16" s="17"/>
      <c r="T16" s="17"/>
      <c r="V16" s="22"/>
      <c r="W16" s="22"/>
    </row>
    <row r="17" spans="1:32" s="10" customFormat="1" ht="15.75">
      <c r="A17" s="32" t="s">
        <v>11</v>
      </c>
      <c r="B17" s="33">
        <v>5969</v>
      </c>
      <c r="C17" s="28"/>
      <c r="D17" s="33">
        <v>0</v>
      </c>
      <c r="E17" s="28"/>
      <c r="F17" s="17">
        <v>0</v>
      </c>
      <c r="G17" s="17"/>
      <c r="H17" s="17">
        <v>0</v>
      </c>
      <c r="I17" s="29"/>
      <c r="J17" s="17">
        <v>0</v>
      </c>
      <c r="K17" s="17"/>
      <c r="L17" s="17">
        <v>0</v>
      </c>
      <c r="M17" s="17"/>
      <c r="N17" s="17">
        <v>2541</v>
      </c>
      <c r="O17" s="17"/>
      <c r="P17" s="17">
        <v>0</v>
      </c>
      <c r="R17" s="17"/>
      <c r="S17" s="17"/>
      <c r="T17" s="17"/>
      <c r="V17" s="22"/>
      <c r="W17" s="22"/>
    </row>
    <row r="18" spans="1:32" s="10" customFormat="1" ht="15.75">
      <c r="A18" s="32" t="s">
        <v>12</v>
      </c>
      <c r="B18" s="33">
        <v>12202</v>
      </c>
      <c r="C18" s="28"/>
      <c r="D18" s="33">
        <v>12202</v>
      </c>
      <c r="E18" s="28"/>
      <c r="F18" s="17">
        <v>0</v>
      </c>
      <c r="G18" s="17"/>
      <c r="H18" s="17">
        <v>0</v>
      </c>
      <c r="I18" s="29"/>
      <c r="J18" s="17">
        <v>0</v>
      </c>
      <c r="K18" s="17"/>
      <c r="L18" s="17">
        <v>0</v>
      </c>
      <c r="M18" s="17"/>
      <c r="N18" s="17">
        <v>0</v>
      </c>
      <c r="O18" s="17"/>
      <c r="P18" s="17">
        <v>0</v>
      </c>
      <c r="R18" s="17"/>
      <c r="S18" s="17"/>
      <c r="T18" s="17"/>
      <c r="V18" s="22"/>
      <c r="W18" s="22"/>
    </row>
    <row r="19" spans="1:32" s="10" customFormat="1" ht="15.75">
      <c r="A19" s="32" t="s">
        <v>13</v>
      </c>
      <c r="B19" s="33">
        <v>10908</v>
      </c>
      <c r="C19" s="28"/>
      <c r="D19" s="33">
        <v>10948</v>
      </c>
      <c r="E19" s="28"/>
      <c r="F19" s="17">
        <f>21826+1342</f>
        <v>23168</v>
      </c>
      <c r="G19" s="17"/>
      <c r="H19" s="17">
        <f>21895-1342</f>
        <v>20553</v>
      </c>
      <c r="I19" s="29"/>
      <c r="J19" s="17">
        <f>7612-162</f>
        <v>7450</v>
      </c>
      <c r="K19" s="17"/>
      <c r="L19" s="17">
        <f>10798-2838</f>
        <v>7960</v>
      </c>
      <c r="M19" s="17"/>
      <c r="N19" s="17">
        <v>6210</v>
      </c>
      <c r="O19" s="17"/>
      <c r="P19" s="17">
        <v>6417</v>
      </c>
      <c r="R19" s="17">
        <v>-1342</v>
      </c>
      <c r="S19" s="17"/>
      <c r="T19" s="17">
        <f>R19</f>
        <v>-1342</v>
      </c>
      <c r="V19" s="22">
        <v>-3000</v>
      </c>
      <c r="W19" s="22"/>
      <c r="X19" s="10">
        <v>-3000</v>
      </c>
      <c r="Z19" s="10">
        <v>-2838</v>
      </c>
      <c r="AB19" s="10">
        <v>-2838</v>
      </c>
      <c r="AD19" s="10">
        <v>-1342</v>
      </c>
      <c r="AF19" s="10">
        <v>-1342</v>
      </c>
    </row>
    <row r="20" spans="1:32" s="10" customFormat="1" ht="15.75">
      <c r="A20" s="32" t="s">
        <v>14</v>
      </c>
      <c r="B20" s="33">
        <v>31761</v>
      </c>
      <c r="C20" s="28"/>
      <c r="D20" s="33">
        <v>32659</v>
      </c>
      <c r="E20" s="28"/>
      <c r="F20" s="17">
        <v>27052</v>
      </c>
      <c r="G20" s="17"/>
      <c r="H20" s="17">
        <v>28054</v>
      </c>
      <c r="I20" s="29"/>
      <c r="J20" s="17">
        <v>31253</v>
      </c>
      <c r="K20" s="17"/>
      <c r="L20" s="17">
        <v>32448</v>
      </c>
      <c r="M20" s="17"/>
      <c r="N20" s="17">
        <v>31524</v>
      </c>
      <c r="O20" s="17"/>
      <c r="P20" s="17">
        <v>33083</v>
      </c>
      <c r="R20" s="17"/>
      <c r="S20" s="17"/>
      <c r="T20" s="17"/>
      <c r="V20" s="22"/>
      <c r="W20" s="22"/>
    </row>
    <row r="21" spans="1:32" s="10" customFormat="1" ht="15.75">
      <c r="A21" s="30"/>
      <c r="B21" s="31"/>
      <c r="C21" s="30"/>
      <c r="D21" s="31"/>
      <c r="E21" s="30"/>
      <c r="F21" s="17"/>
      <c r="G21" s="17"/>
      <c r="H21" s="17"/>
      <c r="I21" s="31"/>
      <c r="J21" s="17"/>
      <c r="K21" s="17"/>
      <c r="L21" s="17"/>
      <c r="M21" s="17"/>
      <c r="N21" s="17"/>
      <c r="O21" s="17"/>
      <c r="P21" s="17"/>
      <c r="R21" s="17"/>
      <c r="S21" s="17"/>
      <c r="T21" s="17"/>
      <c r="W21" s="22"/>
    </row>
    <row r="22" spans="1:32" s="9" customFormat="1" ht="15.75">
      <c r="A22" s="26" t="s">
        <v>15</v>
      </c>
      <c r="B22" s="27">
        <f>B23+B33</f>
        <v>921856</v>
      </c>
      <c r="C22" s="7"/>
      <c r="D22" s="27">
        <f>D23+D33</f>
        <v>935399</v>
      </c>
      <c r="E22" s="7"/>
      <c r="F22" s="27">
        <f>F23+F33</f>
        <v>957012</v>
      </c>
      <c r="G22" s="25"/>
      <c r="H22" s="27">
        <f>H23+H33</f>
        <v>968875</v>
      </c>
      <c r="I22" s="24"/>
      <c r="J22" s="27">
        <f>J23+J33</f>
        <v>1009138</v>
      </c>
      <c r="K22" s="25"/>
      <c r="L22" s="27">
        <f>L23+L33</f>
        <v>1007263</v>
      </c>
      <c r="M22" s="25"/>
      <c r="N22" s="27">
        <f>N23+N33</f>
        <v>1014838</v>
      </c>
      <c r="O22" s="25"/>
      <c r="P22" s="27">
        <f>P23+P33</f>
        <v>1013634</v>
      </c>
      <c r="R22" s="25">
        <f>R23+R33</f>
        <v>516460</v>
      </c>
      <c r="S22" s="25"/>
      <c r="T22" s="25">
        <f>T23+T33</f>
        <v>546611</v>
      </c>
      <c r="V22" s="34">
        <v>560797</v>
      </c>
      <c r="W22" s="34"/>
      <c r="X22" s="9">
        <v>572967</v>
      </c>
      <c r="Z22" s="9">
        <v>558772</v>
      </c>
      <c r="AB22" s="9">
        <v>570877</v>
      </c>
      <c r="AD22" s="9">
        <v>516460</v>
      </c>
      <c r="AF22" s="9">
        <v>546611</v>
      </c>
    </row>
    <row r="23" spans="1:32" s="9" customFormat="1" ht="15.75">
      <c r="A23" s="26" t="s">
        <v>16</v>
      </c>
      <c r="B23" s="27">
        <f>B25+B31</f>
        <v>28290</v>
      </c>
      <c r="C23" s="7"/>
      <c r="D23" s="27">
        <f>D25+D31</f>
        <v>25789</v>
      </c>
      <c r="E23" s="7"/>
      <c r="F23" s="27">
        <f>F25+F31</f>
        <v>57891</v>
      </c>
      <c r="G23" s="25"/>
      <c r="H23" s="27">
        <f>H25+H31</f>
        <v>55359</v>
      </c>
      <c r="I23" s="24"/>
      <c r="J23" s="27">
        <f>J25+J31</f>
        <v>63610</v>
      </c>
      <c r="K23" s="25"/>
      <c r="L23" s="27">
        <f>L25+L31</f>
        <v>62544</v>
      </c>
      <c r="M23" s="25"/>
      <c r="N23" s="27">
        <f>N25+N31</f>
        <v>62843</v>
      </c>
      <c r="O23" s="25"/>
      <c r="P23" s="27">
        <f>P25+P31</f>
        <v>59840</v>
      </c>
      <c r="R23" s="25">
        <f>R25+R31</f>
        <v>7517</v>
      </c>
      <c r="S23" s="25"/>
      <c r="T23" s="25">
        <f>T25+T31</f>
        <v>7517</v>
      </c>
      <c r="V23" s="34">
        <v>7817</v>
      </c>
      <c r="W23" s="34"/>
      <c r="X23" s="9">
        <v>7817</v>
      </c>
      <c r="Z23" s="9">
        <v>7948</v>
      </c>
      <c r="AB23" s="9">
        <v>7948</v>
      </c>
      <c r="AD23" s="9">
        <v>7517</v>
      </c>
      <c r="AF23" s="9">
        <v>7517</v>
      </c>
    </row>
    <row r="24" spans="1:32" s="10" customFormat="1" ht="15.75">
      <c r="A24" s="30"/>
      <c r="B24" s="31"/>
      <c r="C24" s="30"/>
      <c r="D24" s="31"/>
      <c r="E24" s="30"/>
      <c r="F24" s="17">
        <f>57891-F23</f>
        <v>0</v>
      </c>
      <c r="G24" s="17"/>
      <c r="H24" s="17"/>
      <c r="I24" s="31"/>
      <c r="J24" s="17"/>
      <c r="K24" s="17"/>
      <c r="L24" s="17"/>
      <c r="M24" s="17"/>
      <c r="N24" s="17"/>
      <c r="O24" s="17"/>
      <c r="P24" s="17"/>
      <c r="R24" s="17">
        <f>R25-F24</f>
        <v>7517</v>
      </c>
      <c r="S24" s="17"/>
      <c r="T24" s="17"/>
      <c r="W24" s="22"/>
      <c r="AD24" s="10">
        <v>7517</v>
      </c>
    </row>
    <row r="25" spans="1:32" s="10" customFormat="1" ht="15.75">
      <c r="A25" s="32" t="s">
        <v>17</v>
      </c>
      <c r="B25" s="33">
        <f>SUM(B26:B30)</f>
        <v>25560</v>
      </c>
      <c r="C25" s="33"/>
      <c r="D25" s="33">
        <f>SUM(D26:D30)</f>
        <v>25789</v>
      </c>
      <c r="E25" s="33"/>
      <c r="F25" s="33">
        <f>SUM(F26:F30)</f>
        <v>55129</v>
      </c>
      <c r="G25" s="17"/>
      <c r="H25" s="33">
        <f>SUM(H26:H30)</f>
        <v>55359</v>
      </c>
      <c r="I25" s="29"/>
      <c r="J25" s="33">
        <f>SUM(J26:J30)</f>
        <v>60955</v>
      </c>
      <c r="K25" s="17"/>
      <c r="L25" s="33">
        <f>SUM(L26:L30)</f>
        <v>62544</v>
      </c>
      <c r="M25" s="17"/>
      <c r="N25" s="33">
        <f>SUM(N26:N30)</f>
        <v>62843</v>
      </c>
      <c r="O25" s="17"/>
      <c r="P25" s="33">
        <f>SUM(P26:P30)</f>
        <v>59840</v>
      </c>
      <c r="R25" s="17">
        <f>SUM(R26:R30)</f>
        <v>7517</v>
      </c>
      <c r="S25" s="17"/>
      <c r="T25" s="17">
        <f>SUM(T26:T30)</f>
        <v>7517</v>
      </c>
      <c r="V25" s="22">
        <v>7817</v>
      </c>
      <c r="W25" s="22"/>
      <c r="X25" s="10">
        <v>7817</v>
      </c>
      <c r="Z25" s="10">
        <v>7948</v>
      </c>
      <c r="AB25" s="10">
        <v>7948</v>
      </c>
      <c r="AD25" s="10">
        <v>7517</v>
      </c>
      <c r="AF25" s="10">
        <v>7517</v>
      </c>
    </row>
    <row r="26" spans="1:32" s="10" customFormat="1" ht="15.75">
      <c r="A26" s="32" t="s">
        <v>18</v>
      </c>
      <c r="B26" s="33">
        <v>11518</v>
      </c>
      <c r="C26" s="28"/>
      <c r="D26" s="33">
        <v>11518</v>
      </c>
      <c r="E26" s="28"/>
      <c r="F26" s="17">
        <v>41845</v>
      </c>
      <c r="G26" s="17"/>
      <c r="H26" s="17">
        <v>41845</v>
      </c>
      <c r="I26" s="29"/>
      <c r="J26" s="17">
        <f>53852-7387</f>
        <v>46465</v>
      </c>
      <c r="K26" s="17"/>
      <c r="L26" s="17">
        <f>47724</f>
        <v>47724</v>
      </c>
      <c r="M26" s="17"/>
      <c r="N26" s="17">
        <f>52406-8015</f>
        <v>44391</v>
      </c>
      <c r="O26" s="17"/>
      <c r="P26" s="17">
        <f>52406-8015</f>
        <v>44391</v>
      </c>
      <c r="R26" s="17">
        <v>0</v>
      </c>
      <c r="S26" s="17"/>
      <c r="T26" s="17">
        <v>0</v>
      </c>
      <c r="V26" s="22">
        <v>0</v>
      </c>
      <c r="W26" s="22"/>
      <c r="X26" s="10">
        <v>0</v>
      </c>
      <c r="Z26" s="10">
        <v>0</v>
      </c>
      <c r="AB26" s="10">
        <v>0</v>
      </c>
      <c r="AD26" s="10">
        <v>0</v>
      </c>
      <c r="AF26" s="10">
        <v>0</v>
      </c>
    </row>
    <row r="27" spans="1:32" s="10" customFormat="1" ht="15.75">
      <c r="A27" s="32" t="s">
        <v>19</v>
      </c>
      <c r="B27" s="33">
        <v>5038</v>
      </c>
      <c r="C27" s="28"/>
      <c r="D27" s="33">
        <v>5038</v>
      </c>
      <c r="E27" s="28"/>
      <c r="F27" s="17">
        <f>5767+112</f>
        <v>5879</v>
      </c>
      <c r="G27" s="17"/>
      <c r="H27" s="17">
        <f>5767+112</f>
        <v>5879</v>
      </c>
      <c r="I27" s="29"/>
      <c r="J27" s="17">
        <f>6541+562</f>
        <v>7103</v>
      </c>
      <c r="K27" s="17"/>
      <c r="L27" s="17">
        <f>6599+561</f>
        <v>7160</v>
      </c>
      <c r="M27" s="17"/>
      <c r="N27" s="17">
        <v>7111</v>
      </c>
      <c r="O27" s="17"/>
      <c r="P27" s="17">
        <v>7169</v>
      </c>
      <c r="R27" s="17">
        <v>112</v>
      </c>
      <c r="S27" s="17"/>
      <c r="T27" s="17">
        <f>R27</f>
        <v>112</v>
      </c>
      <c r="V27" s="22">
        <v>-198</v>
      </c>
      <c r="W27" s="22"/>
      <c r="X27" s="10">
        <v>-198</v>
      </c>
      <c r="Z27" s="10">
        <v>561</v>
      </c>
      <c r="AB27" s="10">
        <v>561</v>
      </c>
      <c r="AD27" s="10">
        <v>112</v>
      </c>
      <c r="AF27" s="10">
        <v>112</v>
      </c>
    </row>
    <row r="28" spans="1:32" s="10" customFormat="1" ht="15.75">
      <c r="A28" s="32" t="s">
        <v>20</v>
      </c>
      <c r="B28" s="33">
        <v>1434</v>
      </c>
      <c r="C28" s="28"/>
      <c r="D28" s="33">
        <v>1663</v>
      </c>
      <c r="E28" s="28"/>
      <c r="F28" s="17">
        <v>0</v>
      </c>
      <c r="G28" s="17"/>
      <c r="H28" s="17">
        <v>230</v>
      </c>
      <c r="I28" s="29"/>
      <c r="J28" s="17">
        <v>0</v>
      </c>
      <c r="K28" s="17"/>
      <c r="L28" s="17">
        <v>273</v>
      </c>
      <c r="M28" s="17"/>
      <c r="N28" s="17">
        <v>3326</v>
      </c>
      <c r="O28" s="17"/>
      <c r="P28" s="17">
        <v>265</v>
      </c>
      <c r="R28" s="17"/>
      <c r="S28" s="17"/>
      <c r="T28" s="17"/>
      <c r="V28" s="22"/>
      <c r="W28" s="22"/>
    </row>
    <row r="29" spans="1:32" s="10" customFormat="1" ht="15.75">
      <c r="A29" s="32" t="s">
        <v>21</v>
      </c>
      <c r="B29" s="33">
        <v>7570</v>
      </c>
      <c r="C29" s="28"/>
      <c r="D29" s="33">
        <v>7570</v>
      </c>
      <c r="E29" s="28"/>
      <c r="F29" s="17">
        <v>7405</v>
      </c>
      <c r="G29" s="17"/>
      <c r="H29" s="17">
        <v>7405</v>
      </c>
      <c r="I29" s="29"/>
      <c r="J29" s="17">
        <v>7387</v>
      </c>
      <c r="K29" s="17"/>
      <c r="L29" s="17">
        <v>7387</v>
      </c>
      <c r="M29" s="17"/>
      <c r="N29" s="17">
        <v>8015</v>
      </c>
      <c r="O29" s="17"/>
      <c r="P29" s="17">
        <v>8015</v>
      </c>
      <c r="R29" s="17">
        <v>7405</v>
      </c>
      <c r="S29" s="17"/>
      <c r="T29" s="17">
        <f>R29</f>
        <v>7405</v>
      </c>
      <c r="V29" s="22">
        <v>8015</v>
      </c>
      <c r="W29" s="22"/>
      <c r="X29" s="10">
        <v>8015</v>
      </c>
      <c r="Z29" s="10">
        <v>7387</v>
      </c>
      <c r="AB29" s="10">
        <v>7387</v>
      </c>
      <c r="AD29" s="10">
        <v>7405</v>
      </c>
      <c r="AF29" s="10">
        <v>7405</v>
      </c>
    </row>
    <row r="30" spans="1:32" s="10" customFormat="1" ht="15.75">
      <c r="A30" s="32" t="s">
        <v>22</v>
      </c>
      <c r="B30" s="33">
        <v>0</v>
      </c>
      <c r="C30" s="28"/>
      <c r="D30" s="33">
        <v>0</v>
      </c>
      <c r="E30" s="28"/>
      <c r="F30" s="17">
        <v>0</v>
      </c>
      <c r="G30" s="17"/>
      <c r="H30" s="17">
        <v>0</v>
      </c>
      <c r="I30" s="29"/>
      <c r="J30" s="17">
        <v>0</v>
      </c>
      <c r="K30" s="17"/>
      <c r="L30" s="17">
        <v>0</v>
      </c>
      <c r="M30" s="17"/>
      <c r="N30" s="17">
        <v>0</v>
      </c>
      <c r="O30" s="17"/>
      <c r="P30" s="17">
        <v>0</v>
      </c>
      <c r="R30" s="17">
        <v>0</v>
      </c>
      <c r="S30" s="17"/>
      <c r="T30" s="17"/>
      <c r="V30" s="22">
        <v>0</v>
      </c>
      <c r="W30" s="22"/>
      <c r="Z30" s="10">
        <v>0</v>
      </c>
      <c r="AD30" s="10">
        <v>0</v>
      </c>
    </row>
    <row r="31" spans="1:32" s="10" customFormat="1" ht="15.75">
      <c r="A31" s="32" t="s">
        <v>23</v>
      </c>
      <c r="B31" s="33">
        <v>2730</v>
      </c>
      <c r="C31" s="28"/>
      <c r="D31" s="33">
        <v>0</v>
      </c>
      <c r="E31" s="28"/>
      <c r="F31" s="17">
        <v>2762</v>
      </c>
      <c r="G31" s="17"/>
      <c r="H31" s="17">
        <v>0</v>
      </c>
      <c r="I31" s="29"/>
      <c r="J31" s="17">
        <v>2655</v>
      </c>
      <c r="K31" s="17"/>
      <c r="L31" s="17">
        <v>0</v>
      </c>
      <c r="M31" s="17"/>
      <c r="N31" s="17">
        <v>0</v>
      </c>
      <c r="O31" s="17"/>
      <c r="P31" s="17">
        <v>0</v>
      </c>
      <c r="R31" s="17">
        <v>0</v>
      </c>
      <c r="S31" s="17"/>
      <c r="T31" s="17"/>
      <c r="V31" s="22">
        <v>0</v>
      </c>
      <c r="W31" s="22"/>
      <c r="Z31" s="10">
        <v>0</v>
      </c>
      <c r="AD31" s="10">
        <v>0</v>
      </c>
    </row>
    <row r="32" spans="1:32" s="10" customFormat="1" ht="15.75">
      <c r="A32" s="7"/>
      <c r="B32" s="24"/>
      <c r="C32" s="7"/>
      <c r="D32" s="24"/>
      <c r="E32" s="7"/>
      <c r="F32" s="25"/>
      <c r="G32" s="25"/>
      <c r="H32" s="25"/>
      <c r="I32" s="24"/>
      <c r="J32" s="25"/>
      <c r="K32" s="25"/>
      <c r="L32" s="25"/>
      <c r="M32" s="25"/>
      <c r="N32" s="25"/>
      <c r="O32" s="25"/>
      <c r="P32" s="25"/>
      <c r="Q32" s="9"/>
      <c r="R32" s="25"/>
      <c r="S32" s="25"/>
      <c r="T32" s="25"/>
      <c r="U32" s="9"/>
      <c r="V32" s="9"/>
      <c r="W32" s="22"/>
    </row>
    <row r="33" spans="1:32" s="9" customFormat="1" ht="15.75">
      <c r="A33" s="26" t="s">
        <v>24</v>
      </c>
      <c r="B33" s="27">
        <f>SUM(B35+B38+B39)</f>
        <v>893566</v>
      </c>
      <c r="C33" s="7"/>
      <c r="D33" s="27">
        <f>SUM(D35+D38+D39)</f>
        <v>909610</v>
      </c>
      <c r="E33" s="7"/>
      <c r="F33" s="27">
        <f>SUM(F35+F38+F39)</f>
        <v>899121</v>
      </c>
      <c r="G33" s="25"/>
      <c r="H33" s="27">
        <f>SUM(H35+H38+H39)</f>
        <v>913516</v>
      </c>
      <c r="I33" s="24"/>
      <c r="J33" s="27">
        <f>SUM(J35+J38+J39)</f>
        <v>945528</v>
      </c>
      <c r="K33" s="25"/>
      <c r="L33" s="27">
        <f>SUM(L35+L38+L39)</f>
        <v>944719</v>
      </c>
      <c r="M33" s="25"/>
      <c r="N33" s="27">
        <f>SUM(N35+N38+N39)</f>
        <v>951995</v>
      </c>
      <c r="O33" s="25"/>
      <c r="P33" s="27">
        <f>SUM(P35+P38+P39)</f>
        <v>953794</v>
      </c>
      <c r="R33" s="25">
        <f>SUM(R36+R38+R39)</f>
        <v>508943</v>
      </c>
      <c r="S33" s="25"/>
      <c r="T33" s="25">
        <f>SUM(T35+T38+T39)</f>
        <v>539094</v>
      </c>
      <c r="V33" s="34">
        <v>552980</v>
      </c>
      <c r="W33" s="34"/>
      <c r="X33" s="9">
        <v>565150</v>
      </c>
      <c r="Z33" s="9">
        <v>550824</v>
      </c>
      <c r="AB33" s="9">
        <v>562929</v>
      </c>
      <c r="AD33" s="9">
        <v>508943</v>
      </c>
      <c r="AF33" s="9">
        <v>539094</v>
      </c>
    </row>
    <row r="34" spans="1:32" s="10" customFormat="1" ht="15.75">
      <c r="A34" s="30"/>
      <c r="B34" s="31"/>
      <c r="C34" s="30"/>
      <c r="D34" s="31"/>
      <c r="E34" s="30"/>
      <c r="F34" s="17">
        <f>899121-F33</f>
        <v>0</v>
      </c>
      <c r="G34" s="17"/>
      <c r="H34" s="17"/>
      <c r="I34" s="31"/>
      <c r="J34" s="17"/>
      <c r="K34" s="17"/>
      <c r="L34" s="17"/>
      <c r="M34" s="17"/>
      <c r="N34" s="17"/>
      <c r="O34" s="17"/>
      <c r="P34" s="17"/>
      <c r="R34" s="17"/>
      <c r="S34" s="17"/>
      <c r="T34" s="17"/>
      <c r="W34" s="22"/>
    </row>
    <row r="35" spans="1:32" s="10" customFormat="1" ht="15.75">
      <c r="A35" s="32" t="s">
        <v>25</v>
      </c>
      <c r="B35" s="17">
        <f>SUM(B36:B37)</f>
        <v>179403</v>
      </c>
      <c r="C35" s="33"/>
      <c r="D35" s="17">
        <f>SUM(D36:D37)</f>
        <v>458</v>
      </c>
      <c r="E35" s="28"/>
      <c r="F35" s="17">
        <f>SUM(F36:F37)</f>
        <v>144612</v>
      </c>
      <c r="G35" s="17"/>
      <c r="H35" s="17">
        <f>SUM(H36:H37)</f>
        <v>0</v>
      </c>
      <c r="I35" s="29"/>
      <c r="J35" s="17">
        <f>SUM(J36:J37)</f>
        <v>108611</v>
      </c>
      <c r="K35" s="17"/>
      <c r="L35" s="17">
        <v>0</v>
      </c>
      <c r="M35" s="17"/>
      <c r="N35" s="17">
        <f>SUM(N36:N37)</f>
        <v>108211</v>
      </c>
      <c r="O35" s="17"/>
      <c r="P35" s="17">
        <v>0</v>
      </c>
      <c r="R35" s="17">
        <f>SUM(R36:R37)</f>
        <v>107732</v>
      </c>
      <c r="S35" s="17"/>
      <c r="T35" s="17">
        <f>SUM(T36:T37)</f>
        <v>0</v>
      </c>
      <c r="V35" s="22">
        <v>76479</v>
      </c>
      <c r="W35" s="22"/>
      <c r="X35" s="10">
        <v>0</v>
      </c>
      <c r="Z35" s="10">
        <v>74478</v>
      </c>
      <c r="AB35" s="10">
        <v>0</v>
      </c>
      <c r="AD35" s="10">
        <v>107732</v>
      </c>
      <c r="AF35" s="10">
        <v>0</v>
      </c>
    </row>
    <row r="36" spans="1:32" s="10" customFormat="1" ht="15.75">
      <c r="A36" s="32" t="s">
        <v>26</v>
      </c>
      <c r="B36" s="33">
        <v>179403</v>
      </c>
      <c r="C36" s="28"/>
      <c r="D36" s="33">
        <v>0</v>
      </c>
      <c r="E36" s="28"/>
      <c r="F36" s="17">
        <v>0</v>
      </c>
      <c r="G36" s="17"/>
      <c r="H36" s="17">
        <v>0</v>
      </c>
      <c r="I36" s="29"/>
      <c r="J36" s="17">
        <f>34133+74478</f>
        <v>108611</v>
      </c>
      <c r="K36" s="17"/>
      <c r="L36" s="17">
        <v>0</v>
      </c>
      <c r="M36" s="17"/>
      <c r="N36" s="17">
        <v>108211</v>
      </c>
      <c r="O36" s="17"/>
      <c r="P36" s="17">
        <v>0</v>
      </c>
      <c r="R36" s="17">
        <f>144612-36880</f>
        <v>107732</v>
      </c>
      <c r="S36" s="17"/>
      <c r="T36" s="17">
        <v>0</v>
      </c>
      <c r="V36" s="22">
        <v>76479</v>
      </c>
      <c r="W36" s="22"/>
      <c r="Z36" s="10">
        <v>74478</v>
      </c>
      <c r="AB36" s="10">
        <v>0</v>
      </c>
      <c r="AD36" s="10">
        <v>107732</v>
      </c>
      <c r="AF36" s="10">
        <v>0</v>
      </c>
    </row>
    <row r="37" spans="1:32" s="10" customFormat="1" ht="15.75">
      <c r="A37" s="32" t="s">
        <v>27</v>
      </c>
      <c r="B37" s="33">
        <v>0</v>
      </c>
      <c r="C37" s="28"/>
      <c r="D37" s="33">
        <v>458</v>
      </c>
      <c r="E37" s="28"/>
      <c r="F37" s="17">
        <f>36880+107732</f>
        <v>144612</v>
      </c>
      <c r="G37" s="17"/>
      <c r="H37" s="17">
        <v>0</v>
      </c>
      <c r="I37" s="29"/>
      <c r="J37" s="17">
        <v>0</v>
      </c>
      <c r="K37" s="17"/>
      <c r="L37" s="17">
        <v>0</v>
      </c>
      <c r="M37" s="17"/>
      <c r="N37" s="17">
        <v>0</v>
      </c>
      <c r="O37" s="17"/>
      <c r="P37" s="17">
        <v>0</v>
      </c>
      <c r="R37" s="17">
        <v>0</v>
      </c>
      <c r="S37" s="17"/>
      <c r="T37" s="17"/>
      <c r="V37" s="22">
        <v>0</v>
      </c>
      <c r="W37" s="22"/>
      <c r="Z37" s="10">
        <v>0</v>
      </c>
      <c r="AD37" s="10">
        <v>0</v>
      </c>
    </row>
    <row r="38" spans="1:32" s="10" customFormat="1" ht="15.75">
      <c r="A38" s="32" t="s">
        <v>28</v>
      </c>
      <c r="B38" s="33">
        <v>570282</v>
      </c>
      <c r="C38" s="28"/>
      <c r="D38" s="33">
        <v>709409</v>
      </c>
      <c r="E38" s="28"/>
      <c r="F38" s="17">
        <f>318495+33543+1260+257865</f>
        <v>611163</v>
      </c>
      <c r="G38" s="17"/>
      <c r="H38" s="17">
        <f>339619+33543+1260+341624</f>
        <v>716046</v>
      </c>
      <c r="I38" s="17"/>
      <c r="J38" s="17">
        <f>325671+33543+1357+318658</f>
        <v>679229</v>
      </c>
      <c r="K38" s="17"/>
      <c r="L38" s="17">
        <f>346890+33543+1357+349183</f>
        <v>730973</v>
      </c>
      <c r="M38" s="17"/>
      <c r="N38" s="17">
        <v>686364</v>
      </c>
      <c r="O38" s="17"/>
      <c r="P38" s="17">
        <v>738250</v>
      </c>
      <c r="R38" s="17">
        <f>754508-143346-353298+1</f>
        <v>257865</v>
      </c>
      <c r="S38" s="17"/>
      <c r="T38" s="17">
        <f>R38+53234+30525</f>
        <v>341624</v>
      </c>
      <c r="V38" s="22">
        <v>319081</v>
      </c>
      <c r="W38" s="22"/>
      <c r="X38" s="10">
        <v>349606</v>
      </c>
      <c r="Z38" s="10">
        <v>318658</v>
      </c>
      <c r="AB38" s="10">
        <v>349183</v>
      </c>
      <c r="AD38" s="10">
        <v>257865</v>
      </c>
      <c r="AF38" s="10">
        <v>341624</v>
      </c>
    </row>
    <row r="39" spans="1:32" s="10" customFormat="1" ht="15.75">
      <c r="A39" s="32" t="s">
        <v>29</v>
      </c>
      <c r="B39" s="33">
        <v>143881</v>
      </c>
      <c r="C39" s="28"/>
      <c r="D39" s="33">
        <v>199743</v>
      </c>
      <c r="E39" s="28"/>
      <c r="F39" s="17">
        <v>143346</v>
      </c>
      <c r="G39" s="17"/>
      <c r="H39" s="17">
        <v>197470</v>
      </c>
      <c r="I39" s="29"/>
      <c r="J39" s="17">
        <f>117634-2915+19395+23574</f>
        <v>157688</v>
      </c>
      <c r="K39" s="17"/>
      <c r="L39" s="17">
        <v>213746</v>
      </c>
      <c r="M39" s="17"/>
      <c r="N39" s="17">
        <v>157420</v>
      </c>
      <c r="O39" s="17"/>
      <c r="P39" s="17">
        <v>215544</v>
      </c>
      <c r="R39" s="17">
        <f>19961+108648-4092+18829</f>
        <v>143346</v>
      </c>
      <c r="S39" s="17"/>
      <c r="T39" s="17">
        <v>197470</v>
      </c>
      <c r="V39" s="22">
        <v>157420</v>
      </c>
      <c r="W39" s="22"/>
      <c r="X39" s="10">
        <v>215544</v>
      </c>
      <c r="Z39" s="10">
        <v>157688</v>
      </c>
      <c r="AB39" s="10">
        <v>213746</v>
      </c>
      <c r="AD39" s="10">
        <v>143346</v>
      </c>
      <c r="AF39" s="10">
        <v>197470</v>
      </c>
    </row>
    <row r="40" spans="1:32" s="10" customFormat="1" ht="15.75">
      <c r="A40" s="35"/>
      <c r="B40" s="35"/>
      <c r="C40" s="35"/>
      <c r="D40" s="35"/>
      <c r="E40" s="35"/>
      <c r="F40" s="36"/>
      <c r="G40" s="36"/>
      <c r="H40" s="36"/>
      <c r="I40" s="24"/>
      <c r="J40" s="36"/>
      <c r="K40" s="36"/>
      <c r="L40" s="36"/>
      <c r="M40" s="36"/>
      <c r="N40" s="36"/>
      <c r="O40" s="36"/>
      <c r="P40" s="36"/>
      <c r="Q40" s="35"/>
      <c r="R40" s="36"/>
      <c r="S40" s="36"/>
      <c r="T40" s="36"/>
      <c r="U40" s="35"/>
      <c r="V40" s="35"/>
      <c r="W40" s="22"/>
    </row>
    <row r="41" spans="1:32" s="10" customFormat="1" ht="15.75">
      <c r="F41" s="17"/>
      <c r="G41" s="17"/>
      <c r="H41" s="17"/>
      <c r="I41" s="31"/>
      <c r="J41" s="17"/>
      <c r="K41" s="17"/>
      <c r="L41" s="17"/>
      <c r="M41" s="17"/>
      <c r="N41" s="17"/>
      <c r="O41" s="17"/>
      <c r="P41" s="17"/>
      <c r="R41" s="17"/>
      <c r="S41" s="17"/>
      <c r="T41" s="17"/>
      <c r="W41" s="22"/>
    </row>
    <row r="42" spans="1:32" s="9" customFormat="1" ht="15.75">
      <c r="A42" s="7"/>
      <c r="B42" s="50">
        <v>40178</v>
      </c>
      <c r="C42" s="51"/>
      <c r="D42" s="51"/>
      <c r="E42" s="7"/>
      <c r="F42" s="50">
        <v>40086</v>
      </c>
      <c r="G42" s="51"/>
      <c r="H42" s="51"/>
      <c r="I42" s="7"/>
      <c r="J42" s="50">
        <v>39994</v>
      </c>
      <c r="K42" s="51"/>
      <c r="L42" s="51"/>
      <c r="N42" s="50">
        <v>39903</v>
      </c>
      <c r="O42" s="51"/>
      <c r="P42" s="51"/>
      <c r="R42" s="25"/>
      <c r="S42" s="25"/>
      <c r="T42" s="25"/>
      <c r="W42" s="34"/>
    </row>
    <row r="43" spans="1:32" s="9" customFormat="1" ht="16.5" thickBot="1">
      <c r="A43" s="37"/>
      <c r="B43" s="12" t="s">
        <v>4</v>
      </c>
      <c r="C43" s="13"/>
      <c r="D43" s="12" t="s">
        <v>5</v>
      </c>
      <c r="E43" s="7"/>
      <c r="F43" s="12" t="s">
        <v>4</v>
      </c>
      <c r="G43" s="13"/>
      <c r="H43" s="12" t="s">
        <v>5</v>
      </c>
      <c r="I43" s="7"/>
      <c r="J43" s="12" t="s">
        <v>4</v>
      </c>
      <c r="K43" s="13"/>
      <c r="L43" s="12" t="s">
        <v>5</v>
      </c>
      <c r="N43" s="12" t="s">
        <v>4</v>
      </c>
      <c r="O43" s="13"/>
      <c r="P43" s="12" t="s">
        <v>5</v>
      </c>
      <c r="R43" s="25"/>
      <c r="S43" s="25"/>
      <c r="T43" s="25"/>
      <c r="W43" s="34"/>
    </row>
    <row r="44" spans="1:32" s="9" customFormat="1" ht="15.75">
      <c r="B44" s="25"/>
      <c r="C44" s="7"/>
      <c r="D44" s="25"/>
      <c r="E44" s="7"/>
      <c r="F44" s="25"/>
      <c r="G44" s="25"/>
      <c r="H44" s="25"/>
      <c r="I44" s="24"/>
      <c r="J44" s="25"/>
      <c r="K44" s="25"/>
      <c r="L44" s="25"/>
      <c r="M44" s="25"/>
      <c r="N44" s="25"/>
      <c r="O44" s="25"/>
      <c r="P44" s="25"/>
      <c r="R44" s="25">
        <f>R45-R10</f>
        <v>0</v>
      </c>
      <c r="S44" s="25"/>
      <c r="T44" s="25">
        <f>T45-T10</f>
        <v>0</v>
      </c>
      <c r="W44" s="34"/>
      <c r="Z44" s="9">
        <v>0</v>
      </c>
      <c r="AB44" s="9">
        <v>0</v>
      </c>
      <c r="AD44" s="9">
        <v>0</v>
      </c>
      <c r="AF44" s="9">
        <v>0</v>
      </c>
    </row>
    <row r="45" spans="1:32" s="9" customFormat="1" ht="15.75">
      <c r="A45" s="18" t="s">
        <v>30</v>
      </c>
      <c r="B45" s="20">
        <f>B47+B65+B79+B81</f>
        <v>1051591</v>
      </c>
      <c r="C45" s="38"/>
      <c r="D45" s="20">
        <f>D47+D65+D79+D81</f>
        <v>1062465</v>
      </c>
      <c r="E45" s="38"/>
      <c r="F45" s="20">
        <f>F47+F65+F79+F81</f>
        <v>1076703</v>
      </c>
      <c r="G45" s="20"/>
      <c r="H45" s="20">
        <f>H47+H65+H79+H81</f>
        <v>1094281</v>
      </c>
      <c r="I45" s="20"/>
      <c r="J45" s="20">
        <f>J47+J65+J79+J81</f>
        <v>1117306</v>
      </c>
      <c r="K45" s="20"/>
      <c r="L45" s="20">
        <f>L47+L65+L79+L81</f>
        <v>1119551</v>
      </c>
      <c r="M45" s="21"/>
      <c r="N45" s="20">
        <f>N47+N65+N79+N81</f>
        <v>1119879</v>
      </c>
      <c r="O45" s="20"/>
      <c r="P45" s="20">
        <f>P47+P65+P79+P81-1</f>
        <v>1119386</v>
      </c>
      <c r="R45" s="25">
        <f>R47+R65+R79+R81</f>
        <v>517609</v>
      </c>
      <c r="S45" s="25"/>
      <c r="T45" s="25">
        <f>T47+T65+T79+T81</f>
        <v>547760</v>
      </c>
      <c r="U45" s="34"/>
      <c r="V45" s="34">
        <v>558979</v>
      </c>
      <c r="W45" s="34"/>
      <c r="X45" s="9">
        <v>571148</v>
      </c>
      <c r="Z45" s="9">
        <v>565289</v>
      </c>
      <c r="AB45" s="9">
        <v>577394</v>
      </c>
      <c r="AD45" s="9">
        <v>517609</v>
      </c>
      <c r="AF45" s="9">
        <v>547760</v>
      </c>
    </row>
    <row r="46" spans="1:32" s="9" customFormat="1" ht="15.75">
      <c r="A46" s="7"/>
      <c r="B46" s="7"/>
      <c r="C46" s="7"/>
      <c r="D46" s="7"/>
      <c r="E46" s="7"/>
      <c r="F46" s="24"/>
      <c r="G46" s="24"/>
      <c r="H46" s="24"/>
      <c r="I46" s="24"/>
      <c r="J46" s="24"/>
      <c r="K46" s="24"/>
      <c r="L46" s="24"/>
      <c r="M46" s="25"/>
      <c r="N46" s="24"/>
      <c r="O46" s="24"/>
      <c r="P46" s="24"/>
      <c r="R46" s="25"/>
      <c r="S46" s="25"/>
      <c r="T46" s="25"/>
      <c r="W46" s="34"/>
    </row>
    <row r="47" spans="1:32" s="9" customFormat="1" ht="15.75">
      <c r="A47" s="26" t="s">
        <v>31</v>
      </c>
      <c r="B47" s="24">
        <f>B49+B50+B51+B52+B53+B57+B58</f>
        <v>206389</v>
      </c>
      <c r="C47" s="7"/>
      <c r="D47" s="24">
        <f>D49+D50+D51+D52+D53+D57+D58</f>
        <v>205005</v>
      </c>
      <c r="E47" s="7"/>
      <c r="F47" s="24">
        <f>F49+F50+F51+F52+F53+F57+F58</f>
        <v>208545</v>
      </c>
      <c r="G47" s="24"/>
      <c r="H47" s="24">
        <f>H49+H50+H51+H52+H53+H57+H58</f>
        <v>211357</v>
      </c>
      <c r="I47" s="24"/>
      <c r="J47" s="24">
        <f>J49+J50+J51+J52+J53+J57+J58</f>
        <v>211348</v>
      </c>
      <c r="K47" s="24"/>
      <c r="L47" s="24">
        <f>L49+L50+L51+L52+L53+L57+L58</f>
        <v>212216</v>
      </c>
      <c r="M47" s="25"/>
      <c r="N47" s="24">
        <f>N49+N50+N51+N52+N53+N57+N58</f>
        <v>215190</v>
      </c>
      <c r="O47" s="24"/>
      <c r="P47" s="24">
        <f>P49+P50+P51+P52+P53+P57+P58</f>
        <v>215913</v>
      </c>
      <c r="R47" s="25">
        <f>R49+R50+R51+R52+R53+R57+R58</f>
        <v>-1348</v>
      </c>
      <c r="S47" s="25"/>
      <c r="T47" s="25">
        <f>T49+T50+T51+T52+T53+T57+T58</f>
        <v>-1348</v>
      </c>
      <c r="V47" s="34">
        <v>906</v>
      </c>
      <c r="W47" s="34"/>
      <c r="X47" s="9">
        <v>906</v>
      </c>
      <c r="Z47" s="9">
        <v>6151</v>
      </c>
      <c r="AB47" s="9">
        <v>6151</v>
      </c>
      <c r="AD47" s="9">
        <v>-1348</v>
      </c>
      <c r="AF47" s="9">
        <v>-1348</v>
      </c>
    </row>
    <row r="48" spans="1:32" s="10" customFormat="1" ht="15.75">
      <c r="A48" s="30"/>
      <c r="B48" s="30"/>
      <c r="C48" s="30"/>
      <c r="D48" s="30"/>
      <c r="E48" s="30"/>
      <c r="F48" s="17">
        <f>208545-F47</f>
        <v>0</v>
      </c>
      <c r="G48" s="17"/>
      <c r="H48" s="17"/>
      <c r="I48" s="31"/>
      <c r="J48" s="17"/>
      <c r="K48" s="17"/>
      <c r="L48" s="17"/>
      <c r="M48" s="17"/>
      <c r="N48" s="17"/>
      <c r="O48" s="17"/>
      <c r="P48" s="17"/>
      <c r="R48" s="17"/>
      <c r="S48" s="17"/>
      <c r="T48" s="17"/>
      <c r="V48" s="22"/>
      <c r="W48" s="22"/>
    </row>
    <row r="49" spans="1:32" s="10" customFormat="1" ht="15.75">
      <c r="A49" s="32" t="s">
        <v>32</v>
      </c>
      <c r="B49" s="39">
        <v>134775</v>
      </c>
      <c r="C49" s="28"/>
      <c r="D49" s="39">
        <v>134775</v>
      </c>
      <c r="E49" s="28"/>
      <c r="F49" s="17">
        <v>141887</v>
      </c>
      <c r="G49" s="17"/>
      <c r="H49" s="17">
        <v>141887</v>
      </c>
      <c r="I49" s="29"/>
      <c r="J49" s="17">
        <v>126302</v>
      </c>
      <c r="K49" s="17"/>
      <c r="L49" s="17">
        <v>126602</v>
      </c>
      <c r="M49" s="17"/>
      <c r="N49" s="17">
        <v>142065</v>
      </c>
      <c r="O49" s="17"/>
      <c r="P49" s="17">
        <v>142365</v>
      </c>
      <c r="R49" s="17">
        <v>0</v>
      </c>
      <c r="S49" s="17"/>
      <c r="T49" s="17"/>
      <c r="V49" s="22">
        <v>0</v>
      </c>
      <c r="W49" s="22"/>
      <c r="Z49" s="10">
        <v>0</v>
      </c>
      <c r="AD49" s="10">
        <v>0</v>
      </c>
    </row>
    <row r="50" spans="1:32" s="10" customFormat="1" ht="15.75">
      <c r="A50" s="32" t="s">
        <v>33</v>
      </c>
      <c r="B50" s="39">
        <v>37196</v>
      </c>
      <c r="C50" s="28"/>
      <c r="D50" s="39">
        <v>37352</v>
      </c>
      <c r="E50" s="28"/>
      <c r="F50" s="17">
        <v>30575</v>
      </c>
      <c r="G50" s="17"/>
      <c r="H50" s="17">
        <v>30870</v>
      </c>
      <c r="I50" s="29"/>
      <c r="J50" s="17">
        <v>40519</v>
      </c>
      <c r="K50" s="17"/>
      <c r="L50" s="17">
        <v>40404</v>
      </c>
      <c r="M50" s="17"/>
      <c r="N50" s="17">
        <v>39412</v>
      </c>
      <c r="O50" s="17"/>
      <c r="P50" s="17">
        <v>39090</v>
      </c>
      <c r="R50" s="17">
        <v>0</v>
      </c>
      <c r="S50" s="17"/>
      <c r="T50" s="17"/>
      <c r="V50" s="22">
        <v>0</v>
      </c>
      <c r="W50" s="22"/>
      <c r="Z50" s="10">
        <v>0</v>
      </c>
      <c r="AD50" s="10">
        <v>0</v>
      </c>
    </row>
    <row r="51" spans="1:32" s="10" customFormat="1" ht="15.75">
      <c r="A51" s="32" t="s">
        <v>34</v>
      </c>
      <c r="B51" s="39">
        <v>0</v>
      </c>
      <c r="C51" s="28"/>
      <c r="D51" s="39">
        <v>0</v>
      </c>
      <c r="E51" s="28"/>
      <c r="F51" s="17">
        <v>0</v>
      </c>
      <c r="G51" s="17"/>
      <c r="H51" s="17">
        <v>0</v>
      </c>
      <c r="I51" s="29"/>
      <c r="J51" s="17">
        <v>0</v>
      </c>
      <c r="K51" s="17"/>
      <c r="L51" s="17">
        <v>0</v>
      </c>
      <c r="M51" s="17"/>
      <c r="N51" s="17">
        <v>0</v>
      </c>
      <c r="O51" s="17"/>
      <c r="P51" s="17">
        <v>0</v>
      </c>
      <c r="R51" s="17"/>
      <c r="S51" s="17"/>
      <c r="T51" s="17"/>
      <c r="V51" s="22"/>
      <c r="W51" s="22"/>
    </row>
    <row r="52" spans="1:32" s="10" customFormat="1" ht="15.75">
      <c r="A52" s="32" t="s">
        <v>35</v>
      </c>
      <c r="B52" s="39">
        <v>3872</v>
      </c>
      <c r="C52" s="28"/>
      <c r="D52" s="39">
        <v>3872</v>
      </c>
      <c r="E52" s="28"/>
      <c r="F52" s="17">
        <v>32</v>
      </c>
      <c r="G52" s="17"/>
      <c r="H52" s="17">
        <v>32</v>
      </c>
      <c r="I52" s="29"/>
      <c r="J52" s="17">
        <v>32</v>
      </c>
      <c r="K52" s="17"/>
      <c r="L52" s="17">
        <v>32</v>
      </c>
      <c r="M52" s="17"/>
      <c r="N52" s="17">
        <v>32</v>
      </c>
      <c r="O52" s="17"/>
      <c r="P52" s="17">
        <v>32</v>
      </c>
      <c r="R52" s="17"/>
      <c r="S52" s="17"/>
      <c r="T52" s="17"/>
      <c r="V52" s="22"/>
      <c r="W52" s="22"/>
    </row>
    <row r="53" spans="1:32" s="10" customFormat="1" ht="15.75">
      <c r="A53" s="32" t="s">
        <v>36</v>
      </c>
      <c r="B53" s="39">
        <f>SUM(B54:B56)</f>
        <v>17938</v>
      </c>
      <c r="C53" s="28"/>
      <c r="D53" s="39">
        <f>SUM(D54:D56)</f>
        <v>18630</v>
      </c>
      <c r="E53" s="28"/>
      <c r="F53" s="39">
        <f>SUM(F54:F56)</f>
        <v>26962</v>
      </c>
      <c r="G53" s="17"/>
      <c r="H53" s="39">
        <f>SUM(H54:H56)</f>
        <v>27731</v>
      </c>
      <c r="I53" s="29"/>
      <c r="J53" s="39">
        <f>SUM(J54:J56)</f>
        <v>22580</v>
      </c>
      <c r="K53" s="17"/>
      <c r="L53" s="39">
        <f>SUM(L54:L56)</f>
        <v>23434</v>
      </c>
      <c r="M53" s="17"/>
      <c r="N53" s="39">
        <f>SUM(N54:N56)</f>
        <v>16023</v>
      </c>
      <c r="O53" s="17"/>
      <c r="P53" s="39">
        <f>SUM(P54:P56)</f>
        <v>16795</v>
      </c>
      <c r="R53" s="29">
        <f>SUM(R54:R56)</f>
        <v>0</v>
      </c>
      <c r="S53" s="17"/>
      <c r="T53" s="29">
        <f>SUM(T54:T56)</f>
        <v>0</v>
      </c>
      <c r="V53" s="22">
        <v>0</v>
      </c>
      <c r="W53" s="22"/>
      <c r="X53" s="10">
        <v>0</v>
      </c>
      <c r="Z53" s="10">
        <v>0</v>
      </c>
      <c r="AB53" s="10">
        <v>0</v>
      </c>
      <c r="AD53" s="10">
        <v>0</v>
      </c>
      <c r="AF53" s="10">
        <v>0</v>
      </c>
    </row>
    <row r="54" spans="1:32" s="10" customFormat="1" ht="15.75">
      <c r="A54" s="32" t="s">
        <v>37</v>
      </c>
      <c r="B54" s="39">
        <v>7309</v>
      </c>
      <c r="C54" s="28"/>
      <c r="D54" s="39">
        <v>7826</v>
      </c>
      <c r="E54" s="28"/>
      <c r="F54" s="17">
        <f>8572+5029</f>
        <v>13601</v>
      </c>
      <c r="G54" s="17"/>
      <c r="H54" s="17">
        <f>9071+5029</f>
        <v>14100</v>
      </c>
      <c r="I54" s="29"/>
      <c r="J54" s="17">
        <f>7029+3602</f>
        <v>10631</v>
      </c>
      <c r="K54" s="17"/>
      <c r="L54" s="17">
        <f>7388+3602</f>
        <v>10990</v>
      </c>
      <c r="M54" s="17"/>
      <c r="N54" s="17">
        <f>4900+341</f>
        <v>5241</v>
      </c>
      <c r="O54" s="17"/>
      <c r="P54" s="17">
        <f>5195+341</f>
        <v>5536</v>
      </c>
      <c r="R54" s="17">
        <v>0</v>
      </c>
      <c r="S54" s="17"/>
      <c r="T54" s="17"/>
      <c r="V54" s="22">
        <v>0</v>
      </c>
      <c r="W54" s="22"/>
      <c r="Z54" s="10">
        <v>0</v>
      </c>
      <c r="AD54" s="10">
        <v>0</v>
      </c>
    </row>
    <row r="55" spans="1:32" s="10" customFormat="1" ht="15.75">
      <c r="A55" s="32" t="s">
        <v>38</v>
      </c>
      <c r="B55" s="39">
        <v>7144</v>
      </c>
      <c r="C55" s="28"/>
      <c r="D55" s="39">
        <v>7184</v>
      </c>
      <c r="E55" s="28"/>
      <c r="F55" s="17">
        <v>9785</v>
      </c>
      <c r="G55" s="17"/>
      <c r="H55" s="17">
        <v>9952</v>
      </c>
      <c r="I55" s="29"/>
      <c r="J55" s="17">
        <v>8625</v>
      </c>
      <c r="K55" s="17"/>
      <c r="L55" s="17">
        <v>9018</v>
      </c>
      <c r="M55" s="17"/>
      <c r="N55" s="17">
        <v>7229</v>
      </c>
      <c r="O55" s="17"/>
      <c r="P55" s="17">
        <v>7605</v>
      </c>
      <c r="R55" s="17"/>
      <c r="S55" s="17"/>
      <c r="T55" s="17"/>
      <c r="V55" s="22"/>
      <c r="W55" s="22"/>
    </row>
    <row r="56" spans="1:32" s="10" customFormat="1" ht="15.75">
      <c r="A56" s="32" t="s">
        <v>39</v>
      </c>
      <c r="B56" s="39">
        <v>3485</v>
      </c>
      <c r="C56" s="28"/>
      <c r="D56" s="40">
        <v>3620</v>
      </c>
      <c r="E56" s="28"/>
      <c r="F56" s="17">
        <v>3576</v>
      </c>
      <c r="G56" s="17"/>
      <c r="H56" s="17">
        <v>3679</v>
      </c>
      <c r="I56" s="29"/>
      <c r="J56" s="17">
        <v>3324</v>
      </c>
      <c r="K56" s="17"/>
      <c r="L56" s="17">
        <v>3426</v>
      </c>
      <c r="M56" s="17"/>
      <c r="N56" s="17">
        <v>3553</v>
      </c>
      <c r="O56" s="17"/>
      <c r="P56" s="17">
        <v>3654</v>
      </c>
      <c r="R56" s="17"/>
      <c r="S56" s="17"/>
      <c r="T56" s="17"/>
      <c r="V56" s="22"/>
      <c r="W56" s="22"/>
    </row>
    <row r="57" spans="1:32" s="10" customFormat="1" ht="15.75">
      <c r="A57" s="32" t="s">
        <v>40</v>
      </c>
      <c r="B57" s="39">
        <v>306</v>
      </c>
      <c r="C57" s="28"/>
      <c r="D57" s="39">
        <v>306</v>
      </c>
      <c r="E57" s="28"/>
      <c r="F57" s="17">
        <v>2861</v>
      </c>
      <c r="G57" s="17"/>
      <c r="H57" s="17">
        <v>2861</v>
      </c>
      <c r="I57" s="29"/>
      <c r="J57" s="17">
        <v>4541</v>
      </c>
      <c r="K57" s="17"/>
      <c r="L57" s="17">
        <v>4541</v>
      </c>
      <c r="M57" s="17"/>
      <c r="N57" s="17">
        <v>6197</v>
      </c>
      <c r="O57" s="17"/>
      <c r="P57" s="17">
        <v>6197</v>
      </c>
      <c r="R57" s="17"/>
      <c r="S57" s="17"/>
      <c r="T57" s="17"/>
      <c r="V57" s="22"/>
      <c r="W57" s="22"/>
    </row>
    <row r="58" spans="1:32" s="10" customFormat="1" ht="15.75">
      <c r="A58" s="32" t="s">
        <v>41</v>
      </c>
      <c r="B58" s="39">
        <f>SUM(B59:B61)</f>
        <v>12302</v>
      </c>
      <c r="C58" s="28"/>
      <c r="D58" s="39">
        <f>SUM(D59:D61)</f>
        <v>10070</v>
      </c>
      <c r="E58" s="28"/>
      <c r="F58" s="39">
        <f>SUM(F59:F61)</f>
        <v>6228</v>
      </c>
      <c r="G58" s="17"/>
      <c r="H58" s="39">
        <f>SUM(H59:H61)</f>
        <v>7976</v>
      </c>
      <c r="I58" s="29"/>
      <c r="J58" s="39">
        <f>SUM(J59:J61)</f>
        <v>17374</v>
      </c>
      <c r="K58" s="17"/>
      <c r="L58" s="39">
        <f>SUM(L59:L61)</f>
        <v>17203</v>
      </c>
      <c r="M58" s="17"/>
      <c r="N58" s="39">
        <f>SUM(N59:N61)</f>
        <v>11461</v>
      </c>
      <c r="O58" s="17"/>
      <c r="P58" s="39">
        <f>SUM(P59:P61)</f>
        <v>11434</v>
      </c>
      <c r="R58" s="29">
        <f>SUM(R59:R61)</f>
        <v>-1348</v>
      </c>
      <c r="S58" s="17"/>
      <c r="T58" s="29">
        <f>SUM(T59:T61)</f>
        <v>-1348</v>
      </c>
      <c r="V58" s="22">
        <v>906</v>
      </c>
      <c r="W58" s="22"/>
      <c r="X58" s="10">
        <v>906</v>
      </c>
      <c r="Z58" s="10">
        <v>6151</v>
      </c>
      <c r="AB58" s="10">
        <v>6151</v>
      </c>
      <c r="AD58" s="10">
        <v>-1348</v>
      </c>
      <c r="AF58" s="10">
        <v>-1348</v>
      </c>
    </row>
    <row r="59" spans="1:32" s="10" customFormat="1" ht="15.75">
      <c r="A59" s="32" t="s">
        <v>42</v>
      </c>
      <c r="B59" s="39">
        <v>569</v>
      </c>
      <c r="C59" s="28"/>
      <c r="D59" s="39">
        <v>1547</v>
      </c>
      <c r="E59" s="28"/>
      <c r="F59" s="17">
        <v>1481</v>
      </c>
      <c r="G59" s="17"/>
      <c r="H59" s="17">
        <v>1768</v>
      </c>
      <c r="I59" s="29"/>
      <c r="J59" s="17">
        <v>2148</v>
      </c>
      <c r="K59" s="17"/>
      <c r="L59" s="17">
        <v>2444</v>
      </c>
      <c r="M59" s="17"/>
      <c r="N59" s="17">
        <v>806</v>
      </c>
      <c r="O59" s="17"/>
      <c r="P59" s="17">
        <v>1190</v>
      </c>
      <c r="R59" s="17">
        <v>0</v>
      </c>
      <c r="S59" s="17"/>
      <c r="T59" s="17"/>
      <c r="V59" s="22">
        <v>0</v>
      </c>
      <c r="W59" s="22"/>
      <c r="Z59" s="10">
        <v>0</v>
      </c>
      <c r="AD59" s="10">
        <v>0</v>
      </c>
    </row>
    <row r="60" spans="1:32" s="10" customFormat="1" ht="15.75">
      <c r="A60" s="32" t="s">
        <v>43</v>
      </c>
      <c r="B60" s="39">
        <v>11733</v>
      </c>
      <c r="C60" s="28"/>
      <c r="D60" s="39">
        <v>7485</v>
      </c>
      <c r="E60" s="28"/>
      <c r="F60" s="17">
        <f>6022-3645</f>
        <v>2377</v>
      </c>
      <c r="G60" s="17"/>
      <c r="H60" s="17">
        <f>5186-1348</f>
        <v>3838</v>
      </c>
      <c r="I60" s="29"/>
      <c r="J60" s="17">
        <f>5799+5829</f>
        <v>11628</v>
      </c>
      <c r="K60" s="17"/>
      <c r="L60" s="17">
        <f>5010+6151</f>
        <v>11161</v>
      </c>
      <c r="M60" s="17"/>
      <c r="N60" s="17">
        <v>5949</v>
      </c>
      <c r="O60" s="17"/>
      <c r="P60" s="17">
        <v>5538</v>
      </c>
      <c r="R60" s="17">
        <f>-3645+2297</f>
        <v>-1348</v>
      </c>
      <c r="S60" s="17"/>
      <c r="T60" s="17">
        <f>R60</f>
        <v>-1348</v>
      </c>
      <c r="V60" s="22">
        <v>906</v>
      </c>
      <c r="W60" s="22"/>
      <c r="X60" s="10">
        <v>906</v>
      </c>
      <c r="Z60" s="10">
        <v>6151</v>
      </c>
      <c r="AB60" s="10">
        <v>6151</v>
      </c>
      <c r="AD60" s="10">
        <v>-1348</v>
      </c>
      <c r="AF60" s="10">
        <v>-1348</v>
      </c>
    </row>
    <row r="61" spans="1:32" s="10" customFormat="1" ht="15.75">
      <c r="A61" s="28" t="s">
        <v>44</v>
      </c>
      <c r="B61" s="39">
        <v>0</v>
      </c>
      <c r="C61" s="28"/>
      <c r="D61" s="39">
        <v>1038</v>
      </c>
      <c r="E61" s="28"/>
      <c r="F61" s="17">
        <v>2370</v>
      </c>
      <c r="G61" s="17"/>
      <c r="H61" s="17">
        <v>2370</v>
      </c>
      <c r="I61" s="29"/>
      <c r="J61" s="17">
        <v>3598</v>
      </c>
      <c r="K61" s="17"/>
      <c r="L61" s="17">
        <v>3598</v>
      </c>
      <c r="M61" s="17"/>
      <c r="N61" s="17">
        <v>4706</v>
      </c>
      <c r="O61" s="17"/>
      <c r="P61" s="17">
        <v>4706</v>
      </c>
      <c r="R61" s="17"/>
      <c r="S61" s="17"/>
      <c r="T61" s="17"/>
      <c r="V61" s="22"/>
      <c r="W61" s="22"/>
    </row>
    <row r="62" spans="1:32" s="10" customFormat="1" ht="15.75">
      <c r="A62" s="28" t="s">
        <v>45</v>
      </c>
      <c r="B62" s="39"/>
      <c r="C62" s="28"/>
      <c r="D62" s="39"/>
      <c r="E62" s="28"/>
      <c r="F62" s="17"/>
      <c r="G62" s="17"/>
      <c r="H62" s="17"/>
      <c r="I62" s="29"/>
      <c r="J62" s="17"/>
      <c r="K62" s="17"/>
      <c r="L62" s="17"/>
      <c r="M62" s="17"/>
      <c r="N62" s="17"/>
      <c r="O62" s="17"/>
      <c r="P62" s="17"/>
      <c r="R62" s="17"/>
      <c r="S62" s="17"/>
      <c r="T62" s="17"/>
      <c r="V62" s="22"/>
      <c r="W62" s="22"/>
    </row>
    <row r="63" spans="1:32" s="10" customFormat="1" ht="15.75">
      <c r="A63" s="7"/>
      <c r="B63" s="7"/>
      <c r="C63" s="7"/>
      <c r="D63" s="7"/>
      <c r="E63" s="7"/>
      <c r="F63" s="25"/>
      <c r="G63" s="25"/>
      <c r="H63" s="25"/>
      <c r="I63" s="24"/>
      <c r="J63" s="25"/>
      <c r="K63" s="17"/>
      <c r="L63" s="17"/>
      <c r="M63" s="17"/>
      <c r="N63" s="17"/>
      <c r="O63" s="17"/>
      <c r="P63" s="17"/>
      <c r="R63" s="17"/>
      <c r="S63" s="17"/>
      <c r="T63" s="17"/>
      <c r="V63" s="22"/>
      <c r="W63" s="22"/>
    </row>
    <row r="64" spans="1:32" s="9" customFormat="1" ht="15.75">
      <c r="A64" s="26" t="s">
        <v>46</v>
      </c>
      <c r="B64" s="24">
        <f>B65</f>
        <v>402489</v>
      </c>
      <c r="C64" s="41"/>
      <c r="D64" s="24">
        <f>D65</f>
        <v>414739</v>
      </c>
      <c r="E64" s="7"/>
      <c r="F64" s="24">
        <f>F65</f>
        <v>425313</v>
      </c>
      <c r="G64" s="25"/>
      <c r="H64" s="24">
        <f>H65</f>
        <v>440081</v>
      </c>
      <c r="I64" s="24"/>
      <c r="J64" s="24">
        <f>J65</f>
        <v>465569</v>
      </c>
      <c r="K64" s="25"/>
      <c r="L64" s="24">
        <f>L65</f>
        <v>466946</v>
      </c>
      <c r="M64" s="25"/>
      <c r="N64" s="24">
        <f>N65</f>
        <v>482614</v>
      </c>
      <c r="O64" s="25"/>
      <c r="P64" s="24">
        <f>P65</f>
        <v>481399</v>
      </c>
      <c r="R64" s="25">
        <f>R65</f>
        <v>164213</v>
      </c>
      <c r="S64" s="25"/>
      <c r="T64" s="25">
        <f>T65</f>
        <v>194364</v>
      </c>
      <c r="V64" s="34">
        <v>185332</v>
      </c>
      <c r="W64" s="34"/>
      <c r="X64" s="9">
        <v>197501</v>
      </c>
      <c r="Z64" s="9">
        <v>188501</v>
      </c>
      <c r="AB64" s="9">
        <v>200606</v>
      </c>
      <c r="AD64" s="9">
        <v>164213</v>
      </c>
      <c r="AF64" s="9">
        <v>194364</v>
      </c>
    </row>
    <row r="65" spans="1:32" s="9" customFormat="1" ht="15.75">
      <c r="A65" s="26" t="s">
        <v>47</v>
      </c>
      <c r="B65" s="24">
        <f>B67+B68+B69+B71+B72</f>
        <v>402489</v>
      </c>
      <c r="C65" s="41"/>
      <c r="D65" s="24">
        <f>D67+D68+D69+D71+D72</f>
        <v>414739</v>
      </c>
      <c r="E65" s="7"/>
      <c r="F65" s="24">
        <f>F67+F68+F69+F71+F72</f>
        <v>425313</v>
      </c>
      <c r="G65" s="25"/>
      <c r="H65" s="24">
        <f>H67+H68+H69+H71+H72</f>
        <v>440081</v>
      </c>
      <c r="I65" s="24"/>
      <c r="J65" s="24">
        <f>J67+J68+J69+J71+J72</f>
        <v>465569</v>
      </c>
      <c r="K65" s="25"/>
      <c r="L65" s="24">
        <f>L67+L68+L69+L71+L72</f>
        <v>466946</v>
      </c>
      <c r="M65" s="25"/>
      <c r="N65" s="24">
        <f>N67+N68+N69+N71+N72</f>
        <v>482614</v>
      </c>
      <c r="O65" s="25"/>
      <c r="P65" s="24">
        <f>P67+P68+P69+P71+P72</f>
        <v>481399</v>
      </c>
      <c r="R65" s="25">
        <f>R67+R68+R69+R71+R72</f>
        <v>164213</v>
      </c>
      <c r="S65" s="25"/>
      <c r="T65" s="25">
        <f>T67+T68+T69+T71+T72</f>
        <v>194364</v>
      </c>
      <c r="V65" s="34">
        <v>185332</v>
      </c>
      <c r="W65" s="34"/>
      <c r="X65" s="9">
        <v>197501</v>
      </c>
      <c r="Z65" s="9">
        <v>188501</v>
      </c>
      <c r="AB65" s="9">
        <v>200606</v>
      </c>
      <c r="AD65" s="9">
        <v>164213</v>
      </c>
      <c r="AF65" s="9">
        <v>194364</v>
      </c>
    </row>
    <row r="66" spans="1:32" s="10" customFormat="1" ht="15.75">
      <c r="A66" s="30"/>
      <c r="B66" s="30"/>
      <c r="C66" s="30"/>
      <c r="D66" s="30"/>
      <c r="E66" s="30"/>
      <c r="F66" s="17">
        <f>425313-F65</f>
        <v>0</v>
      </c>
      <c r="G66" s="17"/>
      <c r="H66" s="17"/>
      <c r="I66" s="31"/>
      <c r="J66" s="17"/>
      <c r="K66" s="17"/>
      <c r="L66" s="17"/>
      <c r="M66" s="17"/>
      <c r="N66" s="17"/>
      <c r="O66" s="17"/>
      <c r="P66" s="17"/>
      <c r="R66" s="17"/>
      <c r="S66" s="17"/>
      <c r="T66" s="17"/>
      <c r="V66" s="22"/>
      <c r="W66" s="22"/>
    </row>
    <row r="67" spans="1:32" s="10" customFormat="1" ht="15.75">
      <c r="A67" s="32" t="s">
        <v>32</v>
      </c>
      <c r="B67" s="29">
        <v>168725</v>
      </c>
      <c r="C67" s="42"/>
      <c r="D67" s="29">
        <v>168725</v>
      </c>
      <c r="E67" s="28"/>
      <c r="F67" s="17">
        <v>161913</v>
      </c>
      <c r="G67" s="17"/>
      <c r="H67" s="17">
        <v>161913</v>
      </c>
      <c r="I67" s="29"/>
      <c r="J67" s="17">
        <v>187720</v>
      </c>
      <c r="K67" s="17"/>
      <c r="L67" s="17">
        <v>187720</v>
      </c>
      <c r="M67" s="17"/>
      <c r="N67" s="17">
        <v>216049</v>
      </c>
      <c r="O67" s="17"/>
      <c r="P67" s="17">
        <v>216049</v>
      </c>
      <c r="R67" s="17">
        <v>0</v>
      </c>
      <c r="S67" s="17"/>
      <c r="T67" s="17"/>
      <c r="V67" s="22">
        <v>0</v>
      </c>
      <c r="W67" s="22"/>
      <c r="Z67" s="10">
        <v>0</v>
      </c>
      <c r="AD67" s="10">
        <v>0</v>
      </c>
    </row>
    <row r="68" spans="1:32" s="10" customFormat="1" ht="15.75">
      <c r="A68" s="32" t="s">
        <v>34</v>
      </c>
      <c r="B68" s="29">
        <v>0</v>
      </c>
      <c r="C68" s="42"/>
      <c r="D68" s="29">
        <v>0</v>
      </c>
      <c r="E68" s="28"/>
      <c r="F68" s="29">
        <v>0</v>
      </c>
      <c r="G68" s="17"/>
      <c r="H68" s="29">
        <v>0</v>
      </c>
      <c r="I68" s="29"/>
      <c r="J68" s="29">
        <v>0</v>
      </c>
      <c r="K68" s="17"/>
      <c r="L68" s="29">
        <v>0</v>
      </c>
      <c r="M68" s="17"/>
      <c r="N68" s="29">
        <v>0</v>
      </c>
      <c r="O68" s="17"/>
      <c r="P68" s="29">
        <v>0</v>
      </c>
      <c r="R68" s="17"/>
      <c r="S68" s="17"/>
      <c r="T68" s="17"/>
      <c r="V68" s="22"/>
      <c r="W68" s="22"/>
    </row>
    <row r="69" spans="1:32" s="10" customFormat="1" ht="15.75">
      <c r="A69" s="32" t="s">
        <v>48</v>
      </c>
      <c r="B69" s="29">
        <v>28458</v>
      </c>
      <c r="C69" s="42"/>
      <c r="D69" s="29">
        <v>27664</v>
      </c>
      <c r="E69" s="28"/>
      <c r="F69" s="17">
        <f>56353+7405</f>
        <v>63758</v>
      </c>
      <c r="G69" s="17"/>
      <c r="H69" s="17">
        <f>H70</f>
        <v>64001</v>
      </c>
      <c r="I69" s="29"/>
      <c r="J69" s="17">
        <f>J70</f>
        <v>61971</v>
      </c>
      <c r="K69" s="17"/>
      <c r="L69" s="17">
        <f>55111+7104</f>
        <v>62215</v>
      </c>
      <c r="M69" s="17"/>
      <c r="N69" s="17">
        <v>60003</v>
      </c>
      <c r="O69" s="17"/>
      <c r="P69" s="17">
        <v>60247</v>
      </c>
      <c r="R69" s="17">
        <f>R70</f>
        <v>7405</v>
      </c>
      <c r="S69" s="17"/>
      <c r="T69" s="17">
        <f>R69</f>
        <v>7405</v>
      </c>
      <c r="V69" s="22">
        <v>7111</v>
      </c>
      <c r="W69" s="22"/>
      <c r="X69" s="10">
        <v>7111</v>
      </c>
      <c r="Z69" s="10">
        <v>7104</v>
      </c>
      <c r="AB69" s="10">
        <v>7104</v>
      </c>
      <c r="AD69" s="10">
        <v>7405</v>
      </c>
      <c r="AF69" s="10">
        <v>7405</v>
      </c>
    </row>
    <row r="70" spans="1:32" s="10" customFormat="1" ht="15.75">
      <c r="A70" s="32" t="s">
        <v>49</v>
      </c>
      <c r="B70" s="29">
        <v>28458</v>
      </c>
      <c r="C70" s="42"/>
      <c r="D70" s="29">
        <v>27664</v>
      </c>
      <c r="E70" s="28"/>
      <c r="F70" s="17">
        <f>56353+7405</f>
        <v>63758</v>
      </c>
      <c r="G70" s="17"/>
      <c r="H70" s="17">
        <f>56596+7405</f>
        <v>64001</v>
      </c>
      <c r="I70" s="29"/>
      <c r="J70" s="17">
        <f>54867+7104</f>
        <v>61971</v>
      </c>
      <c r="K70" s="17"/>
      <c r="L70" s="17">
        <f>55111+7104</f>
        <v>62215</v>
      </c>
      <c r="M70" s="17"/>
      <c r="N70" s="17">
        <v>60003</v>
      </c>
      <c r="O70" s="17"/>
      <c r="P70" s="17">
        <v>60247</v>
      </c>
      <c r="R70" s="17">
        <v>7405</v>
      </c>
      <c r="S70" s="17"/>
      <c r="T70" s="17">
        <f>R70</f>
        <v>7405</v>
      </c>
      <c r="V70" s="22">
        <v>7111</v>
      </c>
      <c r="W70" s="22"/>
      <c r="X70" s="10">
        <v>7111</v>
      </c>
      <c r="Z70" s="10">
        <v>7104</v>
      </c>
      <c r="AB70" s="10">
        <v>7104</v>
      </c>
      <c r="AD70" s="10">
        <v>7405</v>
      </c>
      <c r="AF70" s="10">
        <v>7405</v>
      </c>
    </row>
    <row r="71" spans="1:32" s="10" customFormat="1" ht="15.75">
      <c r="A71" s="32" t="s">
        <v>40</v>
      </c>
      <c r="B71" s="29">
        <v>17755</v>
      </c>
      <c r="C71" s="42"/>
      <c r="D71" s="42">
        <v>0</v>
      </c>
      <c r="E71" s="28"/>
      <c r="F71" s="17">
        <v>16303</v>
      </c>
      <c r="G71" s="17"/>
      <c r="H71" s="17">
        <v>0</v>
      </c>
      <c r="I71" s="29"/>
      <c r="J71" s="17">
        <v>12927</v>
      </c>
      <c r="K71" s="17"/>
      <c r="L71" s="17">
        <v>0</v>
      </c>
      <c r="M71" s="17"/>
      <c r="N71" s="17">
        <v>14341</v>
      </c>
      <c r="O71" s="17"/>
      <c r="P71" s="17">
        <v>0</v>
      </c>
      <c r="R71" s="17"/>
      <c r="S71" s="17"/>
      <c r="T71" s="17"/>
      <c r="V71" s="22"/>
      <c r="W71" s="22"/>
    </row>
    <row r="72" spans="1:32" s="10" customFormat="1" ht="15.75">
      <c r="A72" s="32" t="s">
        <v>41</v>
      </c>
      <c r="B72" s="29">
        <f>SUM(B73:B76)</f>
        <v>187551</v>
      </c>
      <c r="C72" s="42"/>
      <c r="D72" s="29">
        <f>SUM(D73:D76)</f>
        <v>218350</v>
      </c>
      <c r="E72" s="28"/>
      <c r="F72" s="29">
        <f>SUM(F73:F76)</f>
        <v>183339</v>
      </c>
      <c r="G72" s="17"/>
      <c r="H72" s="29">
        <f>SUM(H73:H76)</f>
        <v>214167</v>
      </c>
      <c r="I72" s="29"/>
      <c r="J72" s="29">
        <f>SUM(J73:J76)</f>
        <v>202951</v>
      </c>
      <c r="K72" s="17"/>
      <c r="L72" s="29">
        <f>SUM(L73:L76)</f>
        <v>217011</v>
      </c>
      <c r="M72" s="17"/>
      <c r="N72" s="29">
        <v>192221</v>
      </c>
      <c r="O72" s="17"/>
      <c r="P72" s="29">
        <v>205103</v>
      </c>
      <c r="R72" s="29">
        <f>SUM(R73:R76)</f>
        <v>156808</v>
      </c>
      <c r="S72" s="17"/>
      <c r="T72" s="29">
        <f>SUM(T73:T76)</f>
        <v>186959</v>
      </c>
      <c r="V72" s="22">
        <v>178221</v>
      </c>
      <c r="W72" s="22"/>
      <c r="X72" s="22">
        <v>190390</v>
      </c>
      <c r="Z72" s="10">
        <v>181397</v>
      </c>
      <c r="AB72" s="10">
        <v>193502</v>
      </c>
      <c r="AD72" s="10">
        <v>156808</v>
      </c>
      <c r="AF72" s="10">
        <v>186959</v>
      </c>
    </row>
    <row r="73" spans="1:32" s="10" customFormat="1" ht="15.75">
      <c r="A73" s="32" t="s">
        <v>39</v>
      </c>
      <c r="B73" s="29">
        <v>13581</v>
      </c>
      <c r="C73" s="42"/>
      <c r="D73" s="29">
        <v>14292</v>
      </c>
      <c r="E73" s="28"/>
      <c r="F73" s="17">
        <v>11444</v>
      </c>
      <c r="G73" s="17"/>
      <c r="H73" s="17">
        <v>12121</v>
      </c>
      <c r="I73" s="29"/>
      <c r="J73" s="17">
        <v>10213</v>
      </c>
      <c r="K73" s="17"/>
      <c r="L73" s="17">
        <v>10909</v>
      </c>
      <c r="M73" s="17"/>
      <c r="N73" s="17">
        <v>10950</v>
      </c>
      <c r="O73" s="17"/>
      <c r="P73" s="17">
        <v>11663</v>
      </c>
      <c r="R73" s="17"/>
      <c r="S73" s="17"/>
      <c r="T73" s="17"/>
      <c r="V73" s="22"/>
      <c r="W73" s="22"/>
    </row>
    <row r="74" spans="1:32" s="10" customFormat="1" ht="15.75">
      <c r="A74" s="28" t="s">
        <v>37</v>
      </c>
      <c r="B74" s="39">
        <v>588</v>
      </c>
      <c r="C74" s="28"/>
      <c r="D74" s="29">
        <v>588</v>
      </c>
      <c r="E74" s="28"/>
      <c r="F74" s="17">
        <v>179</v>
      </c>
      <c r="G74" s="17"/>
      <c r="H74" s="17">
        <v>179</v>
      </c>
      <c r="I74" s="29"/>
      <c r="J74" s="29">
        <v>0</v>
      </c>
      <c r="K74" s="17"/>
      <c r="L74" s="17">
        <v>0</v>
      </c>
      <c r="M74" s="17"/>
      <c r="N74" s="29">
        <v>0</v>
      </c>
      <c r="O74" s="17"/>
      <c r="P74" s="29">
        <v>0</v>
      </c>
      <c r="R74" s="17"/>
      <c r="S74" s="17"/>
      <c r="T74" s="17"/>
      <c r="V74" s="22"/>
      <c r="W74" s="22"/>
    </row>
    <row r="75" spans="1:32" s="10" customFormat="1" ht="15.75">
      <c r="A75" s="28" t="s">
        <v>50</v>
      </c>
      <c r="B75" s="39">
        <v>1048</v>
      </c>
      <c r="C75" s="28"/>
      <c r="D75" s="29">
        <v>1048</v>
      </c>
      <c r="E75" s="28"/>
      <c r="F75" s="29">
        <v>0</v>
      </c>
      <c r="G75" s="17"/>
      <c r="H75" s="29">
        <v>0</v>
      </c>
      <c r="I75" s="29"/>
      <c r="J75" s="29">
        <v>0</v>
      </c>
      <c r="K75" s="17"/>
      <c r="L75" s="29">
        <v>0</v>
      </c>
      <c r="M75" s="17"/>
      <c r="N75" s="29">
        <v>0</v>
      </c>
      <c r="O75" s="17"/>
      <c r="P75" s="29">
        <v>0</v>
      </c>
      <c r="R75" s="17"/>
      <c r="S75" s="17"/>
      <c r="T75" s="17"/>
      <c r="V75" s="22"/>
      <c r="W75" s="22"/>
    </row>
    <row r="76" spans="1:32" s="10" customFormat="1" ht="15.75">
      <c r="A76" s="28" t="s">
        <v>51</v>
      </c>
      <c r="B76" s="39">
        <v>172334</v>
      </c>
      <c r="C76" s="28"/>
      <c r="D76" s="29">
        <v>202422</v>
      </c>
      <c r="E76" s="28"/>
      <c r="F76" s="17">
        <f>2046+12862+156808</f>
        <v>171716</v>
      </c>
      <c r="G76" s="17"/>
      <c r="H76" s="17">
        <f>12862+2046+186959</f>
        <v>201867</v>
      </c>
      <c r="I76" s="29"/>
      <c r="J76" s="17">
        <f>9211+2130+181397</f>
        <v>192738</v>
      </c>
      <c r="K76" s="17"/>
      <c r="L76" s="17">
        <f>9211+2130+193502+1259</f>
        <v>206102</v>
      </c>
      <c r="M76" s="17"/>
      <c r="N76" s="17">
        <f>873+2177</f>
        <v>3050</v>
      </c>
      <c r="O76" s="17"/>
      <c r="P76" s="17">
        <v>193440</v>
      </c>
      <c r="R76" s="17">
        <f>6016+165698-14908+2</f>
        <v>156808</v>
      </c>
      <c r="S76" s="17"/>
      <c r="T76" s="17">
        <f>186952+7</f>
        <v>186959</v>
      </c>
      <c r="V76" s="22">
        <v>178221</v>
      </c>
      <c r="W76" s="22"/>
      <c r="X76" s="10">
        <v>190390</v>
      </c>
      <c r="Z76" s="10">
        <v>181397</v>
      </c>
      <c r="AB76" s="10">
        <v>193502</v>
      </c>
      <c r="AD76" s="10">
        <v>156808</v>
      </c>
      <c r="AF76" s="10">
        <v>186959</v>
      </c>
    </row>
    <row r="77" spans="1:32" s="10" customFormat="1" ht="15.75">
      <c r="A77" s="28" t="s">
        <v>52</v>
      </c>
      <c r="B77" s="39">
        <v>0</v>
      </c>
      <c r="C77" s="39"/>
      <c r="D77" s="39">
        <v>0</v>
      </c>
      <c r="E77" s="28"/>
      <c r="F77" s="17">
        <v>0</v>
      </c>
      <c r="G77" s="17"/>
      <c r="H77" s="17">
        <v>0</v>
      </c>
      <c r="I77" s="29"/>
      <c r="J77" s="17">
        <v>0</v>
      </c>
      <c r="K77" s="17"/>
      <c r="L77" s="17">
        <v>0</v>
      </c>
      <c r="M77" s="17"/>
      <c r="N77" s="17">
        <v>0</v>
      </c>
      <c r="O77" s="17"/>
      <c r="P77" s="17">
        <v>0</v>
      </c>
      <c r="R77" s="17"/>
      <c r="S77" s="17"/>
      <c r="T77" s="17"/>
      <c r="V77" s="22"/>
      <c r="W77" s="22"/>
    </row>
    <row r="78" spans="1:32" s="10" customFormat="1" ht="15.75">
      <c r="A78" s="7"/>
      <c r="B78" s="30"/>
      <c r="C78" s="30"/>
      <c r="D78" s="30"/>
      <c r="E78" s="30"/>
      <c r="F78" s="17"/>
      <c r="G78" s="17"/>
      <c r="H78" s="17"/>
      <c r="I78" s="31"/>
      <c r="J78" s="17"/>
      <c r="K78" s="17"/>
      <c r="L78" s="17"/>
      <c r="M78" s="17"/>
      <c r="N78" s="17"/>
      <c r="O78" s="17"/>
      <c r="P78" s="17"/>
      <c r="R78" s="17"/>
      <c r="S78" s="17"/>
      <c r="T78" s="17"/>
      <c r="V78" s="22"/>
      <c r="W78" s="22"/>
    </row>
    <row r="79" spans="1:32" s="9" customFormat="1" ht="15.75">
      <c r="A79" s="43" t="s">
        <v>53</v>
      </c>
      <c r="B79" s="44">
        <v>0</v>
      </c>
      <c r="C79" s="7"/>
      <c r="D79" s="44">
        <v>8</v>
      </c>
      <c r="E79" s="7"/>
      <c r="F79" s="44">
        <v>0</v>
      </c>
      <c r="G79" s="25"/>
      <c r="H79" s="25">
        <v>-2</v>
      </c>
      <c r="I79" s="24"/>
      <c r="J79" s="44">
        <v>0</v>
      </c>
      <c r="K79" s="25"/>
      <c r="L79" s="25">
        <v>-1</v>
      </c>
      <c r="M79" s="25"/>
      <c r="N79" s="44">
        <v>0</v>
      </c>
      <c r="O79" s="25"/>
      <c r="P79" s="44">
        <v>0</v>
      </c>
      <c r="R79" s="25"/>
      <c r="S79" s="25"/>
      <c r="T79" s="25"/>
      <c r="V79" s="34"/>
      <c r="W79" s="34"/>
    </row>
    <row r="80" spans="1:32" s="9" customFormat="1" ht="15.75">
      <c r="A80" s="7"/>
      <c r="B80" s="7"/>
      <c r="C80" s="7"/>
      <c r="D80" s="7"/>
      <c r="E80" s="7"/>
      <c r="F80" s="25"/>
      <c r="G80" s="25"/>
      <c r="H80" s="25"/>
      <c r="I80" s="24"/>
      <c r="J80" s="25"/>
      <c r="K80" s="25"/>
      <c r="L80" s="25"/>
      <c r="M80" s="25"/>
      <c r="N80" s="25"/>
      <c r="O80" s="25"/>
      <c r="P80" s="25"/>
      <c r="R80" s="25"/>
      <c r="S80" s="25"/>
      <c r="T80" s="25"/>
      <c r="V80" s="34"/>
      <c r="W80" s="34"/>
    </row>
    <row r="81" spans="1:32" s="9" customFormat="1" ht="15.75">
      <c r="A81" s="26" t="s">
        <v>54</v>
      </c>
      <c r="B81" s="24">
        <f>B83+B84+B86+B85+B90</f>
        <v>442713</v>
      </c>
      <c r="C81" s="41"/>
      <c r="D81" s="24">
        <f>D83+D84+D86+D85+D90</f>
        <v>442713</v>
      </c>
      <c r="E81" s="7"/>
      <c r="F81" s="24">
        <f>F83+F84+F86+F85+F90+F91</f>
        <v>442845</v>
      </c>
      <c r="G81" s="25"/>
      <c r="H81" s="24">
        <f>H83+H84+H86+H85+H90+H91</f>
        <v>442845</v>
      </c>
      <c r="I81" s="24"/>
      <c r="J81" s="24">
        <f>J83+J84+J86+J85+J90+J91</f>
        <v>440389</v>
      </c>
      <c r="K81" s="25"/>
      <c r="L81" s="24">
        <f>L83+L84+L86+L85+L90+L91</f>
        <v>440390</v>
      </c>
      <c r="M81" s="25"/>
      <c r="N81" s="24">
        <f>N83+N84+N86+N85+N90+N91</f>
        <v>422075</v>
      </c>
      <c r="O81" s="25"/>
      <c r="P81" s="24">
        <f>P83+P84+P86+P85+P90+P91</f>
        <v>422075</v>
      </c>
      <c r="R81" s="24">
        <f>R83+R84+R86+R85+R90+R91</f>
        <v>354744</v>
      </c>
      <c r="S81" s="25"/>
      <c r="T81" s="24">
        <f>T83+T84+T86+T85+T90+T91</f>
        <v>354744</v>
      </c>
      <c r="V81" s="34">
        <v>372741</v>
      </c>
      <c r="W81" s="34"/>
      <c r="X81" s="9">
        <v>372741</v>
      </c>
      <c r="Z81" s="9">
        <v>370637</v>
      </c>
      <c r="AB81" s="9">
        <v>370637</v>
      </c>
      <c r="AD81" s="9">
        <v>354744</v>
      </c>
      <c r="AF81" s="9">
        <v>354744</v>
      </c>
    </row>
    <row r="82" spans="1:32" s="10" customFormat="1" ht="15.75">
      <c r="A82" s="30"/>
      <c r="B82" s="7"/>
      <c r="C82" s="30"/>
      <c r="D82" s="7"/>
      <c r="E82" s="30"/>
      <c r="F82" s="17"/>
      <c r="G82" s="17"/>
      <c r="H82" s="17"/>
      <c r="I82" s="31"/>
      <c r="J82" s="17"/>
      <c r="K82" s="17"/>
      <c r="L82" s="17"/>
      <c r="M82" s="17"/>
      <c r="N82" s="17"/>
      <c r="O82" s="17"/>
      <c r="P82" s="17"/>
      <c r="R82" s="17"/>
      <c r="S82" s="17"/>
      <c r="T82" s="17"/>
      <c r="V82" s="22"/>
      <c r="W82" s="22"/>
    </row>
    <row r="83" spans="1:32" s="10" customFormat="1" ht="15.75">
      <c r="A83" s="32" t="s">
        <v>55</v>
      </c>
      <c r="B83" s="39">
        <v>63381</v>
      </c>
      <c r="C83" s="28"/>
      <c r="D83" s="29">
        <v>63381</v>
      </c>
      <c r="E83" s="28"/>
      <c r="F83" s="17">
        <v>63381</v>
      </c>
      <c r="G83" s="17"/>
      <c r="H83" s="17">
        <v>63381</v>
      </c>
      <c r="I83" s="29"/>
      <c r="J83" s="17">
        <v>63381</v>
      </c>
      <c r="K83" s="17"/>
      <c r="L83" s="17">
        <v>63381</v>
      </c>
      <c r="M83" s="17"/>
      <c r="N83" s="17">
        <v>63381</v>
      </c>
      <c r="O83" s="17"/>
      <c r="P83" s="17">
        <v>63381</v>
      </c>
      <c r="R83" s="17"/>
      <c r="S83" s="17"/>
      <c r="T83" s="17"/>
      <c r="V83" s="22"/>
      <c r="W83" s="22"/>
    </row>
    <row r="84" spans="1:32" s="10" customFormat="1" ht="15.75">
      <c r="A84" s="32" t="s">
        <v>56</v>
      </c>
      <c r="B84" s="29">
        <v>-80</v>
      </c>
      <c r="C84" s="28"/>
      <c r="D84" s="29">
        <v>-80</v>
      </c>
      <c r="E84" s="42"/>
      <c r="F84" s="17">
        <v>-80</v>
      </c>
      <c r="G84" s="17"/>
      <c r="H84" s="17">
        <v>-80</v>
      </c>
      <c r="I84" s="29"/>
      <c r="J84" s="17">
        <v>-44</v>
      </c>
      <c r="K84" s="17"/>
      <c r="L84" s="17">
        <v>-44</v>
      </c>
      <c r="M84" s="17"/>
      <c r="N84" s="17">
        <v>-44</v>
      </c>
      <c r="O84" s="17"/>
      <c r="P84" s="17">
        <v>-44</v>
      </c>
      <c r="R84" s="17"/>
      <c r="S84" s="17"/>
      <c r="T84" s="17"/>
      <c r="V84" s="22"/>
      <c r="W84" s="22"/>
    </row>
    <row r="85" spans="1:32" s="10" customFormat="1" ht="15.75">
      <c r="A85" s="32" t="s">
        <v>57</v>
      </c>
      <c r="B85" s="39">
        <v>10409</v>
      </c>
      <c r="C85" s="28"/>
      <c r="D85" s="29">
        <v>10409</v>
      </c>
      <c r="E85" s="28"/>
      <c r="F85" s="17">
        <f>14451-3971</f>
        <v>10480</v>
      </c>
      <c r="G85" s="17"/>
      <c r="H85" s="17">
        <f>14451-3971</f>
        <v>10480</v>
      </c>
      <c r="I85" s="29"/>
      <c r="J85" s="17">
        <f>15814-3971</f>
        <v>11843</v>
      </c>
      <c r="K85" s="17"/>
      <c r="L85" s="17">
        <f>15814-3971</f>
        <v>11843</v>
      </c>
      <c r="M85" s="17"/>
      <c r="N85" s="17">
        <v>11932</v>
      </c>
      <c r="O85" s="17"/>
      <c r="P85" s="17">
        <v>11932</v>
      </c>
      <c r="R85" s="17">
        <v>-3971</v>
      </c>
      <c r="S85" s="17"/>
      <c r="T85" s="17">
        <v>-3971</v>
      </c>
      <c r="V85" s="22">
        <v>-3971</v>
      </c>
      <c r="W85" s="22"/>
      <c r="X85" s="10">
        <v>-3971</v>
      </c>
      <c r="Z85" s="10">
        <v>-3971</v>
      </c>
      <c r="AB85" s="10">
        <v>-3971</v>
      </c>
      <c r="AD85" s="10">
        <v>-3971</v>
      </c>
      <c r="AF85" s="10">
        <v>-3971</v>
      </c>
    </row>
    <row r="86" spans="1:32" s="10" customFormat="1" ht="15.75">
      <c r="A86" s="32" t="s">
        <v>58</v>
      </c>
      <c r="B86" s="39">
        <f>SUM(B87:B89)</f>
        <v>94524</v>
      </c>
      <c r="C86" s="28"/>
      <c r="D86" s="39">
        <f>SUM(D87:D89)</f>
        <v>94524</v>
      </c>
      <c r="E86" s="28"/>
      <c r="F86" s="29">
        <f>SUM(F87:F89)</f>
        <v>86649</v>
      </c>
      <c r="G86" s="17"/>
      <c r="H86" s="29">
        <f>SUM(H87:H89)</f>
        <v>86649</v>
      </c>
      <c r="I86" s="17"/>
      <c r="J86" s="29">
        <f>SUM(J87:J89)</f>
        <v>94839</v>
      </c>
      <c r="K86" s="17"/>
      <c r="L86" s="29">
        <f>SUM(L87:L89)</f>
        <v>94839</v>
      </c>
      <c r="M86" s="17"/>
      <c r="N86" s="29">
        <f>SUM(N87:N89)</f>
        <v>96430</v>
      </c>
      <c r="O86" s="17"/>
      <c r="P86" s="29">
        <f>SUM(P87:P89)</f>
        <v>96430</v>
      </c>
      <c r="R86" s="17">
        <f>SUM(R87:R89)</f>
        <v>86649</v>
      </c>
      <c r="S86" s="17"/>
      <c r="T86" s="17">
        <f>SUM(T87:T89)</f>
        <v>86649</v>
      </c>
      <c r="V86" s="22">
        <v>96430</v>
      </c>
      <c r="W86" s="22"/>
      <c r="X86" s="10">
        <v>96430</v>
      </c>
      <c r="Z86" s="10">
        <v>94839</v>
      </c>
      <c r="AB86" s="10">
        <v>94839</v>
      </c>
      <c r="AD86" s="10">
        <v>86649</v>
      </c>
      <c r="AF86" s="10">
        <v>86649</v>
      </c>
    </row>
    <row r="87" spans="1:32" s="10" customFormat="1" ht="15.75">
      <c r="A87" s="32" t="s">
        <v>59</v>
      </c>
      <c r="B87" s="39">
        <v>814</v>
      </c>
      <c r="C87" s="28"/>
      <c r="D87" s="29">
        <v>814</v>
      </c>
      <c r="E87" s="28"/>
      <c r="F87" s="45">
        <v>0</v>
      </c>
      <c r="G87" s="17"/>
      <c r="H87" s="45">
        <v>0</v>
      </c>
      <c r="I87" s="17"/>
      <c r="J87" s="45">
        <v>0</v>
      </c>
      <c r="K87" s="17"/>
      <c r="L87" s="45">
        <v>0</v>
      </c>
      <c r="M87" s="17"/>
      <c r="N87" s="45">
        <v>0</v>
      </c>
      <c r="O87" s="17"/>
      <c r="P87" s="45">
        <v>0</v>
      </c>
      <c r="R87" s="17"/>
      <c r="S87" s="17"/>
      <c r="T87" s="17"/>
      <c r="V87" s="22"/>
      <c r="W87" s="22"/>
    </row>
    <row r="88" spans="1:32" s="10" customFormat="1" ht="15.75">
      <c r="A88" s="32" t="s">
        <v>60</v>
      </c>
      <c r="B88" s="39">
        <v>8545</v>
      </c>
      <c r="C88" s="28"/>
      <c r="D88" s="29">
        <v>8545</v>
      </c>
      <c r="E88" s="28"/>
      <c r="F88" s="45">
        <v>0</v>
      </c>
      <c r="G88" s="17"/>
      <c r="H88" s="45">
        <v>0</v>
      </c>
      <c r="I88" s="17"/>
      <c r="J88" s="45">
        <v>0</v>
      </c>
      <c r="K88" s="17"/>
      <c r="L88" s="45">
        <v>0</v>
      </c>
      <c r="M88" s="17"/>
      <c r="N88" s="45">
        <v>0</v>
      </c>
      <c r="O88" s="17"/>
      <c r="P88" s="45">
        <v>0</v>
      </c>
      <c r="R88" s="17"/>
      <c r="S88" s="17"/>
      <c r="T88" s="17"/>
      <c r="V88" s="22"/>
      <c r="W88" s="22"/>
    </row>
    <row r="89" spans="1:32" s="10" customFormat="1" ht="15.75">
      <c r="A89" s="32" t="s">
        <v>61</v>
      </c>
      <c r="B89" s="39">
        <v>85165</v>
      </c>
      <c r="C89" s="28"/>
      <c r="D89" s="29">
        <v>85165</v>
      </c>
      <c r="E89" s="28"/>
      <c r="F89" s="17">
        <v>86649</v>
      </c>
      <c r="G89" s="17"/>
      <c r="H89" s="17">
        <v>86649</v>
      </c>
      <c r="I89" s="17"/>
      <c r="J89" s="17">
        <v>94839</v>
      </c>
      <c r="K89" s="17"/>
      <c r="L89" s="17">
        <v>94839</v>
      </c>
      <c r="M89" s="17"/>
      <c r="N89" s="17">
        <v>96430</v>
      </c>
      <c r="O89" s="17"/>
      <c r="P89" s="17">
        <v>96430</v>
      </c>
      <c r="R89" s="17">
        <f>121273-34624</f>
        <v>86649</v>
      </c>
      <c r="S89" s="17"/>
      <c r="T89" s="17">
        <v>86649</v>
      </c>
      <c r="V89" s="22">
        <v>96430</v>
      </c>
      <c r="W89" s="22"/>
      <c r="X89" s="10">
        <v>96430</v>
      </c>
      <c r="Z89" s="10">
        <v>94839</v>
      </c>
      <c r="AB89" s="10">
        <v>94839</v>
      </c>
      <c r="AD89" s="10">
        <v>86649</v>
      </c>
      <c r="AF89" s="10">
        <v>86649</v>
      </c>
    </row>
    <row r="90" spans="1:32" s="10" customFormat="1" ht="15.75">
      <c r="A90" s="32" t="s">
        <v>62</v>
      </c>
      <c r="B90" s="39">
        <v>274479</v>
      </c>
      <c r="C90" s="28"/>
      <c r="D90" s="29">
        <v>274479</v>
      </c>
      <c r="E90" s="28"/>
      <c r="F90" s="17">
        <v>274480</v>
      </c>
      <c r="G90" s="17"/>
      <c r="H90" s="17">
        <v>274480</v>
      </c>
      <c r="I90" s="17"/>
      <c r="J90" s="17">
        <v>281850</v>
      </c>
      <c r="K90" s="17"/>
      <c r="L90" s="17">
        <v>281850</v>
      </c>
      <c r="M90" s="17"/>
      <c r="N90" s="17">
        <v>281850</v>
      </c>
      <c r="O90" s="17"/>
      <c r="P90" s="17">
        <v>281850</v>
      </c>
      <c r="R90" s="17">
        <f>55276-112254+331458</f>
        <v>274480</v>
      </c>
      <c r="S90" s="17"/>
      <c r="T90" s="17">
        <v>274480</v>
      </c>
      <c r="V90" s="22">
        <v>281850</v>
      </c>
      <c r="W90" s="22"/>
      <c r="X90" s="10">
        <v>281850</v>
      </c>
      <c r="Z90" s="10">
        <v>281850</v>
      </c>
      <c r="AB90" s="10">
        <v>281850</v>
      </c>
      <c r="AD90" s="10">
        <v>274480</v>
      </c>
      <c r="AF90" s="10">
        <v>274480</v>
      </c>
    </row>
    <row r="91" spans="1:32" s="10" customFormat="1" ht="15.75">
      <c r="A91" s="32" t="s">
        <v>63</v>
      </c>
      <c r="B91" s="44">
        <v>0</v>
      </c>
      <c r="C91" s="28"/>
      <c r="D91" s="39">
        <v>0</v>
      </c>
      <c r="E91" s="28"/>
      <c r="F91" s="17">
        <f>10350-2415</f>
        <v>7935</v>
      </c>
      <c r="G91" s="17"/>
      <c r="H91" s="17">
        <f>10349-2414</f>
        <v>7935</v>
      </c>
      <c r="I91" s="17"/>
      <c r="J91" s="17">
        <v>-11480</v>
      </c>
      <c r="K91" s="17"/>
      <c r="L91" s="17">
        <f>-9398-2081</f>
        <v>-11479</v>
      </c>
      <c r="M91" s="17"/>
      <c r="N91" s="17">
        <v>-31474</v>
      </c>
      <c r="O91" s="17"/>
      <c r="P91" s="17">
        <v>-31474</v>
      </c>
      <c r="R91" s="17">
        <v>-2414</v>
      </c>
      <c r="S91" s="17"/>
      <c r="T91" s="17">
        <v>-2414</v>
      </c>
      <c r="V91" s="22">
        <v>-1568</v>
      </c>
      <c r="W91" s="22"/>
      <c r="X91" s="10">
        <v>-1568</v>
      </c>
      <c r="Z91" s="10">
        <v>-2081</v>
      </c>
      <c r="AB91" s="10">
        <v>-2081</v>
      </c>
      <c r="AD91" s="10">
        <v>-2414</v>
      </c>
      <c r="AF91" s="10">
        <v>-2414</v>
      </c>
    </row>
    <row r="92" spans="1:32" s="10" customFormat="1" ht="15.75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6"/>
      <c r="S92" s="36"/>
      <c r="T92" s="36"/>
      <c r="U92" s="35"/>
    </row>
    <row r="93" spans="1:32" s="10" customFormat="1" ht="15.75">
      <c r="A93" s="46" t="s">
        <v>64</v>
      </c>
      <c r="N93" s="22"/>
      <c r="R93" s="17"/>
      <c r="S93" s="17"/>
      <c r="T93" s="17"/>
    </row>
    <row r="65536" spans="22:22">
      <c r="V65536" s="47"/>
    </row>
  </sheetData>
  <sheetProtection password="C6D7" sheet="1" objects="1" scenarios="1" selectLockedCells="1" selectUnlockedCells="1"/>
  <mergeCells count="12">
    <mergeCell ref="A2:P2"/>
    <mergeCell ref="A4:P4"/>
    <mergeCell ref="A5:P5"/>
    <mergeCell ref="B7:D7"/>
    <mergeCell ref="F7:H7"/>
    <mergeCell ref="J7:L7"/>
    <mergeCell ref="N7:P7"/>
    <mergeCell ref="R7:T7"/>
    <mergeCell ref="B42:D42"/>
    <mergeCell ref="F42:H42"/>
    <mergeCell ref="J42:L42"/>
    <mergeCell ref="N42:P42"/>
  </mergeCells>
  <pageMargins left="0.78740157499999996" right="0.78740157499999996" top="0.984251969" bottom="0.984251969" header="0.49212598499999999" footer="0.49212598499999999"/>
  <pageSetup paperSize="9" orientation="portrait" r:id="rId1"/>
  <headerFooter alignWithMargins="0"/>
  <ignoredErrors>
    <ignoredError sqref="D25 B25 D35 B35 N35 B53 D53 D72 B72 B86 D86 F86 H86 J86 L86 N86 P86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Balanço Patrimonial 2009 </vt:lpstr>
    </vt:vector>
  </TitlesOfParts>
  <Company>Celulose Irani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adrianawagner</dc:creator>
  <cp:lastModifiedBy>adrianawagner</cp:lastModifiedBy>
  <dcterms:created xsi:type="dcterms:W3CDTF">2011-08-11T15:13:02Z</dcterms:created>
  <dcterms:modified xsi:type="dcterms:W3CDTF">2011-08-11T18:14:37Z</dcterms:modified>
</cp:coreProperties>
</file>